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38640" windowHeight="21240" tabRatio="498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91029"/>
</workbook>
</file>

<file path=xl/calcChain.xml><?xml version="1.0" encoding="utf-8"?>
<calcChain xmlns="http://schemas.openxmlformats.org/spreadsheetml/2006/main">
  <c r="F57" i="1" l="1"/>
  <c r="E57" i="1"/>
  <c r="N11" i="2"/>
  <c r="I57" i="1"/>
  <c r="F12" i="1"/>
  <c r="H57" i="1" l="1"/>
  <c r="E25" i="1" l="1"/>
  <c r="F25" i="1"/>
  <c r="H25" i="1"/>
  <c r="I25" i="1"/>
  <c r="G26" i="1"/>
  <c r="J26" i="1"/>
  <c r="G27" i="1"/>
  <c r="J27" i="1"/>
  <c r="G28" i="1"/>
  <c r="J28" i="1"/>
  <c r="E29" i="1"/>
  <c r="E32" i="1" s="1"/>
  <c r="F29" i="1"/>
  <c r="F32" i="1" s="1"/>
  <c r="H29" i="1"/>
  <c r="H32" i="1" s="1"/>
  <c r="I29" i="1"/>
  <c r="G30" i="1"/>
  <c r="J30" i="1"/>
  <c r="G31" i="1"/>
  <c r="J31" i="1"/>
  <c r="G29" i="1" l="1"/>
  <c r="J29" i="1"/>
  <c r="J25" i="1"/>
  <c r="G25" i="1"/>
  <c r="G32" i="1"/>
  <c r="I32" i="1"/>
  <c r="J32" i="1" s="1"/>
  <c r="F13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D35" i="2"/>
  <c r="D34" i="2"/>
  <c r="D33" i="2" l="1"/>
  <c r="H29" i="2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E29" i="2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U64" i="1" l="1"/>
  <c r="W59" i="1" s="1"/>
  <c r="T64" i="1"/>
  <c r="V59" i="1" s="1"/>
  <c r="F36" i="2"/>
  <c r="F35" i="2"/>
  <c r="F34" i="2"/>
  <c r="F33" i="2"/>
  <c r="F30" i="2"/>
  <c r="F29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32" i="2"/>
  <c r="G12" i="1" l="1"/>
  <c r="G13" i="1"/>
  <c r="D17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E17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<sst xmlns="http://schemas.openxmlformats.org/spreadsheetml/2006/main" count="313" uniqueCount="135">
  <si>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</si>
  <si>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</si>
  <si>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</si>
  <si>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</si>
  <si>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</si>
  <si>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</si>
  <si>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</si>
  <si>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</si>
  <si>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</si>
  <si>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</si>
  <si>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</si>
  <si>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</si>
  <si>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</si>
  <si>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</si>
  <si>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</si>
  <si>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</si>
  <si>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</si>
  <si>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</si>
  <si>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</si>
  <si>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</si>
  <si>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</si>
  <si>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</si>
  <si>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</si>
  <si>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</si>
  <si>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</si>
  <si>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</si>
  <si>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</si>
  <si>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</si>
  <si>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</si>
  <si>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</si>
  <si>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</si>
  <si>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</si>
  <si>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</si>
  <si>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</si>
  <si>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</si>
  <si>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</si>
  <si>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</si>
  <si>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</si>
  <si>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</si>
  <si>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</si>
  <si>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</si>
  <si>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</si>
  <si>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</si>
  <si>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</si>
  <si>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</si>
  <si>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</si>
  <si>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</si>
  <si>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</si>
  <si>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</si>
  <si>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</si>
  <si>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</si>
  <si>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</si>
  <si>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</si>
  <si>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</si>
  <si>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</si>
  <si>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</si>
  <si>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</si>
  <si>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</si>
  <si>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</si>
  <si>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</si>
  <si>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</si>
  <si>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</si>
  <si>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</si>
  <si>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</si>
  <si>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</si>
  <si>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</si>
  <si>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</si>
  <si>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</si>
  <si>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</si>
  <si>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</si>
  <si>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</si>
  <si>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</si>
  <si>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</si>
  <si>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</si>
  <si>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</si>
  <si>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</si>
  <si>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</si>
  <si>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</si>
  <si>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</si>
  <si>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</si>
  <si>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</si>
  <si>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</si>
  <si>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</si>
  <si>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</si>
  <si>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</si>
  <si>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</si>
  <si>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</si>
  <si>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</si>
  <si>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</si>
  <si>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</si>
  <si>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</si>
  <si>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</si>
  <si>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</si>
  <si>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</si>
  <si>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</si>
  <si>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</si>
  <si>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</si>
  <si>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</si>
  <si>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</si>
  <si>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</si>
  <si>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</si>
  <si>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</si>
  <si>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</si>
  <si>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</si>
  <si>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</si>
  <si>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</si>
  <si>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</si>
  <si>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</si>
  <si>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</si>
  <si>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</si>
  <si>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</si>
  <si>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</si>
  <si>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</si>
  <si>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</si>
  <si>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</si>
  <si>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</si>
  <si>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</si>
  <si>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</si>
  <si>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</si>
  <si>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</si>
  <si>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</si>
  <si>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1. RESUMEN NACIONAL AL MES DE ENERO 2023</t>
  </si>
  <si>
    <t>Enero</t>
  </si>
  <si>
    <t>Anual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</si>
  <si>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</si>
  <si>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</si>
  <si>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</si>
  <si>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</si>
  <si>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</si>
  <si>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</si>
  <si>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Grafico N° 11: Generación de energía eléctrica por Región, al mes de enero 2023</t>
  </si>
  <si>
    <t>3.1 Producción de energía eléctrica (GWh) nacional según zona 2023 vs 2022</t>
  </si>
  <si>
    <t>Cuadro N° 8: Producción de energía eléctrica nacional por zona del país, al mes de enero</t>
  </si>
  <si>
    <t>3.2 Producción de energía eléctrica (GWh) por origen y zona al mes de enero 2023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</si>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</sst>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  <numFmt numFmtId="183" formatCode="_ * #,##0.0_ ;_ * \-#,##0.0_ ;_ * &quot;-&quot;??_ ;_ @_ 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1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113" xfId="0" applyNumberFormat="1" applyFill="1" applyBorder="1"/>
    <xf numFmtId="3" fontId="99" fillId="0" borderId="28" xfId="0" applyNumberFormat="1" applyFont="1" applyBorder="1"/>
    <xf numFmtId="178" fontId="96" fillId="68" borderId="32" xfId="33743" applyNumberFormat="1" applyFont="1" applyFill="1" applyBorder="1" applyAlignment="1">
      <alignment horizontal="center"/>
    </xf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96" fillId="0" borderId="32" xfId="33743" applyFont="1" applyBorder="1" applyAlignment="1">
      <alignment horizontal="center"/>
    </xf>
    <xf numFmtId="178" fontId="76" fillId="0" borderId="73" xfId="33743" applyNumberFormat="1" applyFont="1" applyBorder="1"/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167" fontId="0" fillId="68" borderId="30" xfId="0" applyNumberFormat="1" applyFill="1" applyBorder="1"/>
    <xf numFmtId="167" fontId="0" fillId="68" borderId="35" xfId="0" applyNumberFormat="1" applyFill="1" applyBorder="1"/>
    <xf numFmtId="3" fontId="0" fillId="68" borderId="0" xfId="0" quotePrefix="1" applyNumberFormat="1" applyFill="1" applyAlignment="1">
      <alignment horizontal="center" vertical="center"/>
    </xf>
    <xf numFmtId="182" fontId="0" fillId="68" borderId="61" xfId="0" applyNumberFormat="1" applyFill="1" applyBorder="1" applyAlignment="1">
      <alignment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3" fontId="0" fillId="68" borderId="0" xfId="33744" applyNumberFormat="1" applyFont="1" applyFill="1" applyBorder="1"/>
    <xf numFmtId="4" fontId="99" fillId="0" borderId="86" xfId="0" applyNumberFormat="1" applyFont="1" applyBorder="1"/>
    <xf numFmtId="4" fontId="99" fillId="0" borderId="107" xfId="0" applyNumberFormat="1" applyFont="1" applyBorder="1"/>
    <xf numFmtId="182" fontId="0" fillId="68" borderId="61" xfId="0" quotePrefix="1" applyNumberFormat="1" applyFill="1" applyBorder="1" applyAlignment="1">
      <alignment horizontal="center" vertical="center"/>
    </xf>
    <xf numFmtId="3" fontId="0" fillId="68" borderId="27" xfId="0" applyNumberForma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 vertic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3016.6560932193688</c:v>
                </c:pt>
                <c:pt idx="1">
                  <c:v>1780.1947859801389</c:v>
                </c:pt>
                <c:pt idx="2">
                  <c:v>150.47748800000002</c:v>
                </c:pt>
                <c:pt idx="3">
                  <c:v>71.80975500000001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2904.3728971232476</c:v>
                </c:pt>
                <c:pt idx="1">
                  <c:v>2089.4149678036388</c:v>
                </c:pt>
                <c:pt idx="2">
                  <c:v>147.58806147000001</c:v>
                </c:pt>
                <c:pt idx="3">
                  <c:v>72.774917860000002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003904"/>
        <c:axId val="257005824"/>
      </c:barChart>
      <c:catAx>
        <c:axId val="257003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7005824"/>
        <c:crosses val="autoZero"/>
        <c:auto val="1"/>
        <c:lblAlgn val="ctr"/>
        <c:lblOffset val="100"/>
        <c:noMultiLvlLbl val="0"/>
      </c:catAx>
      <c:valAx>
        <c:axId val="2570058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700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2389.0946314257476</c:v>
                </c:pt>
                <c:pt idx="2" formatCode="_ * #,##0.0_ ;_ * \-#,##0.0_ ;_ * &quot;-&quot;??_ ;_ @_ ">
                  <c:v>0.19601025</c:v>
                </c:pt>
                <c:pt idx="3">
                  <c:v>1852.0031834524996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106.48336151000001</c:v>
                </c:pt>
                <c:pt idx="1">
                  <c:v>369.34161376999998</c:v>
                </c:pt>
                <c:pt idx="2">
                  <c:v>72.578907610000002</c:v>
                </c:pt>
                <c:pt idx="3">
                  <c:v>53.038466685999992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36.650723999999997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4241.2938251282476</c:v>
                </c:pt>
                <c:pt idx="1">
                  <c:v>601.44234957600008</c:v>
                </c:pt>
                <c:pt idx="2">
                  <c:v>334.76394457250007</c:v>
                </c:pt>
                <c:pt idx="3">
                  <c:v>36.650723999999997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67440896"/>
        <c:axId val="267449472"/>
      </c:barChart>
      <c:catAx>
        <c:axId val="2674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7449472"/>
        <c:crosses val="autoZero"/>
        <c:auto val="1"/>
        <c:lblAlgn val="ctr"/>
        <c:lblOffset val="100"/>
        <c:noMultiLvlLbl val="0"/>
      </c:catAx>
      <c:valAx>
        <c:axId val="26744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744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CALLAO</c:v>
                </c:pt>
                <c:pt idx="4">
                  <c:v>ANCASH</c:v>
                </c:pt>
                <c:pt idx="5">
                  <c:v>HUANUCO</c:v>
                </c:pt>
                <c:pt idx="6">
                  <c:v>CUSCO</c:v>
                </c:pt>
                <c:pt idx="7">
                  <c:v>ICA</c:v>
                </c:pt>
                <c:pt idx="8">
                  <c:v>CAJAMARCA</c:v>
                </c:pt>
                <c:pt idx="9">
                  <c:v>PIURA</c:v>
                </c:pt>
                <c:pt idx="10">
                  <c:v>PUNO</c:v>
                </c:pt>
                <c:pt idx="11">
                  <c:v>AREQUIPA</c:v>
                </c:pt>
                <c:pt idx="12">
                  <c:v>PASCO</c:v>
                </c:pt>
                <c:pt idx="13">
                  <c:v>MOQUEGUA</c:v>
                </c:pt>
                <c:pt idx="14">
                  <c:v>LA LIBERTAD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APURIMAC</c:v>
                </c:pt>
                <c:pt idx="20">
                  <c:v>SAN MARTÍN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2158.5480386557474</c:v>
                </c:pt>
                <c:pt idx="1">
                  <c:v>874.90868640000008</c:v>
                </c:pt>
                <c:pt idx="2">
                  <c:v>294.00271495499987</c:v>
                </c:pt>
                <c:pt idx="3">
                  <c:v>288.9250191750001</c:v>
                </c:pt>
                <c:pt idx="4">
                  <c:v>277.82602309250007</c:v>
                </c:pt>
                <c:pt idx="5">
                  <c:v>247.93665564749998</c:v>
                </c:pt>
                <c:pt idx="6">
                  <c:v>189.31284054</c:v>
                </c:pt>
                <c:pt idx="7">
                  <c:v>144.78129845500001</c:v>
                </c:pt>
                <c:pt idx="8">
                  <c:v>129.33343272500002</c:v>
                </c:pt>
                <c:pt idx="9">
                  <c:v>128.94679590500002</c:v>
                </c:pt>
                <c:pt idx="10">
                  <c:v>107.73916593</c:v>
                </c:pt>
                <c:pt idx="11">
                  <c:v>82.564253785999995</c:v>
                </c:pt>
                <c:pt idx="12">
                  <c:v>79.893786065</c:v>
                </c:pt>
                <c:pt idx="13">
                  <c:v>62.865510082499988</c:v>
                </c:pt>
                <c:pt idx="14">
                  <c:v>60.698394150000006</c:v>
                </c:pt>
                <c:pt idx="15">
                  <c:v>36.650723999999997</c:v>
                </c:pt>
                <c:pt idx="16">
                  <c:v>19.2529011375</c:v>
                </c:pt>
                <c:pt idx="17">
                  <c:v>8.8317177825000002</c:v>
                </c:pt>
                <c:pt idx="18">
                  <c:v>8.5864787924999995</c:v>
                </c:pt>
                <c:pt idx="19">
                  <c:v>4.1717159999999991</c:v>
                </c:pt>
                <c:pt idx="20">
                  <c:v>3.1106579999999995</c:v>
                </c:pt>
                <c:pt idx="21">
                  <c:v>2.9876369999999999</c:v>
                </c:pt>
                <c:pt idx="22">
                  <c:v>1.1005480000000001</c:v>
                </c:pt>
                <c:pt idx="23">
                  <c:v>1.0670119999999998</c:v>
                </c:pt>
                <c:pt idx="24">
                  <c:v>0.108835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66893184"/>
        <c:axId val="266894720"/>
      </c:barChart>
      <c:catAx>
        <c:axId val="2668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266894720"/>
        <c:crosses val="autoZero"/>
        <c:auto val="1"/>
        <c:lblAlgn val="ctr"/>
        <c:lblOffset val="100"/>
        <c:noMultiLvlLbl val="0"/>
      </c:catAx>
      <c:valAx>
        <c:axId val="266894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2668931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173.04825719950765</c:v>
                </c:pt>
                <c:pt idx="1">
                  <c:v>177.33338016188691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4846.0898649999999</c:v>
                </c:pt>
                <c:pt idx="1">
                  <c:v>5036.817464095001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078400"/>
        <c:axId val="257079936"/>
        <c:axId val="256583424"/>
      </c:bar3DChart>
      <c:catAx>
        <c:axId val="2570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7079936"/>
        <c:crosses val="autoZero"/>
        <c:auto val="1"/>
        <c:lblAlgn val="ctr"/>
        <c:lblOffset val="100"/>
        <c:noMultiLvlLbl val="0"/>
      </c:catAx>
      <c:valAx>
        <c:axId val="2570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7078400"/>
        <c:crosses val="autoZero"/>
        <c:crossBetween val="between"/>
      </c:valAx>
      <c:serAx>
        <c:axId val="256583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707993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2788.0069634993688</c:v>
                </c:pt>
                <c:pt idx="1">
                  <c:v>2678.0529888932479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1735.9352399801387</c:v>
                </c:pt>
                <c:pt idx="1">
                  <c:v>2041.5038402636392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228.64912972000008</c:v>
                </c:pt>
                <c:pt idx="1">
                  <c:v>226.31990822999984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266.54678900000005</c:v>
                </c:pt>
                <c:pt idx="1">
                  <c:v>268.27410687000003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5622656"/>
        <c:axId val="265624192"/>
        <c:axId val="0"/>
      </c:bar3DChart>
      <c:catAx>
        <c:axId val="2656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5624192"/>
        <c:crosses val="autoZero"/>
        <c:auto val="1"/>
        <c:lblAlgn val="ctr"/>
        <c:lblOffset val="100"/>
        <c:noMultiLvlLbl val="0"/>
      </c:catAx>
      <c:valAx>
        <c:axId val="26562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562265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Enero 2023 </a:t>
            </a:r>
          </a:p>
          <a:p>
            <a:pPr>
              <a:defRPr sz="900"/>
            </a:pPr>
            <a:r>
              <a:rPr lang="en-US" sz="900"/>
              <a:t>Total: 5 214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-1.0229700422982751E-2"/>
                  <c:y val="0.118888711438992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661565866646453E-2"/>
                  <c:y val="-0.1447999738976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17764383726563E-2"/>
                  <c:y val="-0.1035935321230105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0617764383726563E-2"/>
                  <c:y val="-6.54274939724277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0785095891510415E-3"/>
                  <c:y val="7.087978513679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8633184941891343"/>
                  <c:y val="-8.54209403567646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Mcdo. Elect.;  </a:t>
                    </a:r>
                  </a:p>
                  <a:p>
                    <a:r>
                      <a:rPr lang="en-US" b="1"/>
                      <a:t>5 036; 97%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SerName val="1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53.685490745747636</c:v>
                </c:pt>
                <c:pt idx="1">
                  <c:v>124.01872741613927</c:v>
                </c:pt>
                <c:pt idx="2">
                  <c:v>2850.6874063774999</c:v>
                </c:pt>
                <c:pt idx="3">
                  <c:v>1965.3962403874996</c:v>
                </c:pt>
                <c:pt idx="4">
                  <c:v>220.36297933000003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4752.5913331995071</c:v>
                </c:pt>
                <c:pt idx="1">
                  <c:v>4945.8767373868886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266.54678900000005</c:v>
                </c:pt>
                <c:pt idx="1">
                  <c:v>268.27410687000003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64313472"/>
        <c:axId val="264327552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4.1335202664565418E-2"/>
                  <c:y val="-5.719688913513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5.3106087641037629E-2</c:v>
                </c:pt>
                <c:pt idx="1">
                  <c:v>5.1451159523988411E-2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51744"/>
        <c:axId val="264329472"/>
      </c:lineChart>
      <c:catAx>
        <c:axId val="26431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4327552"/>
        <c:crosses val="autoZero"/>
        <c:auto val="1"/>
        <c:lblAlgn val="ctr"/>
        <c:lblOffset val="100"/>
        <c:noMultiLvlLbl val="1"/>
      </c:catAx>
      <c:valAx>
        <c:axId val="264327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4313472"/>
        <c:crosses val="autoZero"/>
        <c:crossBetween val="between"/>
        <c:majorUnit val="1000"/>
      </c:valAx>
      <c:valAx>
        <c:axId val="264329472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4351744"/>
        <c:crosses val="max"/>
        <c:crossBetween val="between"/>
      </c:valAx>
      <c:catAx>
        <c:axId val="26435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264329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4.5219125990374726E-2"/>
                  <c:y val="-0.10740094435375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239317504622913"/>
                  <c:y val="0.210298493651170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3016.6560932193688</c:v>
                </c:pt>
                <c:pt idx="1">
                  <c:v>1654.5982149999998</c:v>
                </c:pt>
                <c:pt idx="2">
                  <c:v>79.513424980138552</c:v>
                </c:pt>
                <c:pt idx="4" formatCode="#,##0.00">
                  <c:v>1.8235999999999999</c:v>
                </c:pt>
                <c:pt idx="5">
                  <c:v>44.259546</c:v>
                </c:pt>
                <c:pt idx="6">
                  <c:v>150.47748800000002</c:v>
                </c:pt>
                <c:pt idx="7">
                  <c:v>71.80975500000001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6.1130047996086942E-2"/>
                  <c:y val="-0.108383715848066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6.4807557090886897E-2"/>
                  <c:y val="0.30234876798538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2904.3728971232476</c:v>
                </c:pt>
                <c:pt idx="1">
                  <c:v>1961.4394414074998</c:v>
                </c:pt>
                <c:pt idx="2">
                  <c:v>79.371014856141301</c:v>
                </c:pt>
                <c:pt idx="4" formatCode="#,##0.00">
                  <c:v>0.693384</c:v>
                </c:pt>
                <c:pt idx="5">
                  <c:v>47.911127539999995</c:v>
                </c:pt>
                <c:pt idx="6">
                  <c:v>147.58806147000001</c:v>
                </c:pt>
                <c:pt idx="7">
                  <c:v>72.774917860000002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2904.3728971232476</c:v>
                </c:pt>
                <c:pt idx="1">
                  <c:v>1961.4394414074998</c:v>
                </c:pt>
                <c:pt idx="2" formatCode="General">
                  <c:v>0</c:v>
                </c:pt>
                <c:pt idx="3">
                  <c:v>79.371014856141301</c:v>
                </c:pt>
                <c:pt idx="4">
                  <c:v>47.911127539999995</c:v>
                </c:pt>
                <c:pt idx="5">
                  <c:v>147.58806147000001</c:v>
                </c:pt>
                <c:pt idx="6">
                  <c:v>72.774917860000002</c:v>
                </c:pt>
                <c:pt idx="7">
                  <c:v>0.693384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0482432"/>
        <c:axId val="270497664"/>
      </c:barChart>
      <c:catAx>
        <c:axId val="2704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0497664"/>
        <c:crosses val="autoZero"/>
        <c:auto val="1"/>
        <c:lblAlgn val="ctr"/>
        <c:lblOffset val="100"/>
        <c:noMultiLvlLbl val="0"/>
      </c:catAx>
      <c:valAx>
        <c:axId val="27049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04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41.104699960000005</c:v>
                </c:pt>
                <c:pt idx="1">
                  <c:v>145.93665192750004</c:v>
                </c:pt>
                <c:pt idx="2">
                  <c:v>0</c:v>
                </c:pt>
                <c:pt idx="3">
                  <c:v>147.72259268500002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enero 2022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65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2</xdr:col>
      <xdr:colOff>44450</xdr:colOff>
      <xdr:row>63</xdr:row>
      <xdr:rowOff>23814</xdr:rowOff>
    </xdr:from>
    <xdr:to>
      <xdr:col>8</xdr:col>
      <xdr:colOff>174624</xdr:colOff>
      <xdr:row>71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107577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pSpPr/>
      </xdr:nvGrpSpPr>
      <xdr:grpSpPr>
        <a:xfrm>
          <a:off x="934020" y="973486"/>
          <a:ext cx="6696227" cy="2530069"/>
          <a:chOff x="936906" y="956890"/>
          <a:chExt cx="6692620" cy="2444199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936906" y="956890"/>
          <a:ext cx="6692620" cy="1996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649606" y="3291296"/>
          <a:ext cx="4016169" cy="5497284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3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="110" zoomScaleNormal="100" zoomScaleSheetLayoutView="11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19" ht="15">
      <c r="B2" s="1" t="s">
        <v>121</v>
      </c>
      <c r="C2" s="2"/>
      <c r="D2" s="1"/>
      <c r="E2" s="1"/>
      <c r="F2" s="1"/>
      <c r="G2" s="1"/>
      <c r="H2" s="1"/>
      <c r="I2" s="1"/>
      <c r="J2" s="1"/>
      <c r="K2" s="1"/>
    </row>
    <row r="3" spans="2:19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19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19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19">
      <c r="C6" s="5" t="s">
        <v>113</v>
      </c>
    </row>
    <row r="8" spans="2:19">
      <c r="C8" s="69"/>
      <c r="D8" s="69"/>
      <c r="E8" s="69"/>
      <c r="F8" s="69"/>
      <c r="G8" s="69"/>
    </row>
    <row r="9" spans="2:19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19" ht="13.5" thickBot="1">
      <c r="C10" s="155" t="s">
        <v>63</v>
      </c>
      <c r="D10" s="156"/>
      <c r="E10" s="157"/>
      <c r="F10" s="158"/>
      <c r="G10" s="159"/>
    </row>
    <row r="11" spans="2:19" ht="13.5" thickTop="1">
      <c r="C11" s="69"/>
      <c r="D11" s="106"/>
      <c r="E11" s="107"/>
      <c r="F11" s="108"/>
      <c r="G11" s="109"/>
      <c r="Q11" s="335" t="s">
        <v>64</v>
      </c>
      <c r="R11" s="41" t="s">
        <v>41</v>
      </c>
      <c r="S11" s="54">
        <f>E12</f>
        <v>53.685490745747636</v>
      </c>
    </row>
    <row r="12" spans="2:19">
      <c r="C12" s="110" t="s">
        <v>66</v>
      </c>
      <c r="D12" s="111">
        <v>2850.6874063774999</v>
      </c>
      <c r="E12" s="112">
        <v>53.685490745747636</v>
      </c>
      <c r="F12" s="113">
        <f>SUM(D12:E12)</f>
        <v>2904.3728971232476</v>
      </c>
      <c r="G12" s="311">
        <f>(F12/F$16)-0.001</f>
        <v>0.55601742889204331</v>
      </c>
      <c r="Q12" s="335"/>
      <c r="R12" s="41" t="s">
        <v>73</v>
      </c>
      <c r="S12" s="54">
        <f>E13</f>
        <v>124.01872741613927</v>
      </c>
    </row>
    <row r="13" spans="2:19">
      <c r="C13" s="110" t="s">
        <v>65</v>
      </c>
      <c r="D13" s="111">
        <v>1965.3962403874996</v>
      </c>
      <c r="E13" s="112">
        <v>124.01872741613927</v>
      </c>
      <c r="F13" s="113">
        <f>SUM(D13:E13)</f>
        <v>2089.4149678036388</v>
      </c>
      <c r="G13" s="311">
        <f>(F13/F$16)</f>
        <v>0.40072008467208425</v>
      </c>
      <c r="Q13" s="335" t="s">
        <v>88</v>
      </c>
      <c r="R13" s="41" t="s">
        <v>41</v>
      </c>
      <c r="S13" s="54">
        <f>D12</f>
        <v>2850.6874063774999</v>
      </c>
    </row>
    <row r="14" spans="2:19">
      <c r="C14" s="110" t="s">
        <v>67</v>
      </c>
      <c r="D14" s="111">
        <v>147.58806147000001</v>
      </c>
      <c r="E14" s="114"/>
      <c r="F14" s="113">
        <f>SUM(D14:E14)</f>
        <v>147.58806147000001</v>
      </c>
      <c r="G14" s="311">
        <f>(F14/F$16)</f>
        <v>2.8305291864074194E-2</v>
      </c>
      <c r="Q14" s="335"/>
      <c r="R14" s="41" t="s">
        <v>73</v>
      </c>
      <c r="S14" s="54">
        <f>D13</f>
        <v>1965.3962403874996</v>
      </c>
    </row>
    <row r="15" spans="2:19" ht="13.5" thickBot="1">
      <c r="C15" s="115" t="s">
        <v>5</v>
      </c>
      <c r="D15" s="116">
        <v>72.774917860000002</v>
      </c>
      <c r="E15" s="117"/>
      <c r="F15" s="118">
        <f>SUM(D15:E15)</f>
        <v>72.774917860000002</v>
      </c>
      <c r="G15" s="312">
        <f>(F15/F$16)</f>
        <v>1.3957194571798353E-2</v>
      </c>
      <c r="Q15" s="335"/>
      <c r="R15" s="41" t="s">
        <v>87</v>
      </c>
      <c r="S15" s="54">
        <f>SUM(D14:D15)</f>
        <v>220.36297933000003</v>
      </c>
    </row>
    <row r="16" spans="2:19" ht="13.5" thickTop="1">
      <c r="C16" s="211" t="s">
        <v>71</v>
      </c>
      <c r="D16" s="212">
        <f>SUM(D12:D15)</f>
        <v>5036.4466260949994</v>
      </c>
      <c r="E16" s="213">
        <f>SUM(E12:E15)</f>
        <v>177.7042181618869</v>
      </c>
      <c r="F16" s="214">
        <f>SUM(F12:F15)</f>
        <v>5214.1508442568856</v>
      </c>
      <c r="G16" s="215"/>
    </row>
    <row r="17" spans="3:19">
      <c r="C17" s="216" t="s">
        <v>109</v>
      </c>
      <c r="D17" s="271">
        <f>D16/F16</f>
        <v>0.96591885745737138</v>
      </c>
      <c r="E17" s="272">
        <f>E16/F16</f>
        <v>3.4081142542628735E-2</v>
      </c>
      <c r="F17" s="217"/>
      <c r="G17" s="218"/>
    </row>
    <row r="18" spans="3:19">
      <c r="C18" s="69"/>
      <c r="D18" s="69"/>
      <c r="E18" s="69"/>
      <c r="F18" s="69"/>
      <c r="G18" s="69"/>
    </row>
    <row r="20" spans="3:19">
      <c r="C20" s="5" t="s">
        <v>124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42" t="s">
        <v>112</v>
      </c>
      <c r="D23" s="343"/>
      <c r="E23" s="336" t="s">
        <v>122</v>
      </c>
      <c r="F23" s="337"/>
      <c r="G23" s="122" t="s">
        <v>74</v>
      </c>
      <c r="H23" s="340" t="s">
        <v>123</v>
      </c>
      <c r="I23" s="341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1">
        <v>2021</v>
      </c>
      <c r="I24" s="126">
        <v>2022</v>
      </c>
      <c r="J24" s="127"/>
      <c r="Q24" s="41" t="s">
        <v>76</v>
      </c>
      <c r="R24" s="54">
        <f>E29</f>
        <v>173.04825719950765</v>
      </c>
      <c r="S24" s="54">
        <f>F29</f>
        <v>177.33338016188691</v>
      </c>
    </row>
    <row r="25" spans="3:19">
      <c r="C25" s="331" t="s">
        <v>0</v>
      </c>
      <c r="D25" s="332"/>
      <c r="E25" s="160">
        <f>SUM(E26:E28)</f>
        <v>4846.0898649999999</v>
      </c>
      <c r="F25" s="161">
        <f>SUM(F26:F28)</f>
        <v>5036.817464095001</v>
      </c>
      <c r="G25" s="162">
        <f>((F25/E25)-1)</f>
        <v>3.9357008311483588E-2</v>
      </c>
      <c r="H25" s="202">
        <f>SUM(H26:H28)</f>
        <v>55538.78454800004</v>
      </c>
      <c r="I25" s="161">
        <f>SUM(I26:I28)</f>
        <v>57808.583829076291</v>
      </c>
      <c r="J25" s="162">
        <f>((I25/H25)-1)</f>
        <v>4.0868724433725356E-2</v>
      </c>
      <c r="Q25" s="41" t="s">
        <v>0</v>
      </c>
      <c r="R25" s="54">
        <f>E25</f>
        <v>4846.0898649999999</v>
      </c>
      <c r="S25" s="54">
        <f>F25</f>
        <v>5036.817464095001</v>
      </c>
    </row>
    <row r="26" spans="3:19">
      <c r="C26" s="229" t="s">
        <v>62</v>
      </c>
      <c r="D26" s="238" t="s">
        <v>102</v>
      </c>
      <c r="E26" s="113">
        <v>4683.9685799999997</v>
      </c>
      <c r="F26" s="129">
        <v>4890.6689940950009</v>
      </c>
      <c r="G26" s="130">
        <f t="shared" ref="G26:G32" si="0">((F26/E26)-1)</f>
        <v>4.4129334039000101E-2</v>
      </c>
      <c r="H26" s="203">
        <v>54017.774247000038</v>
      </c>
      <c r="I26" s="129">
        <v>56084.046254515015</v>
      </c>
      <c r="J26" s="130">
        <f t="shared" ref="J26:J32" si="1">((I26/H26)-1)</f>
        <v>3.8251705782374579E-2</v>
      </c>
    </row>
    <row r="27" spans="3:19">
      <c r="C27" s="230" t="s">
        <v>106</v>
      </c>
      <c r="D27" s="239" t="s">
        <v>77</v>
      </c>
      <c r="E27" s="232">
        <v>114.99634700000003</v>
      </c>
      <c r="F27" s="233">
        <v>102.41926899999997</v>
      </c>
      <c r="G27" s="241">
        <f t="shared" si="0"/>
        <v>-0.10936936979398182</v>
      </c>
      <c r="H27" s="234">
        <v>1034.0144019999998</v>
      </c>
      <c r="I27" s="233">
        <v>1224.3321669068405</v>
      </c>
      <c r="J27" s="241">
        <f t="shared" si="1"/>
        <v>0.18405717032444269</v>
      </c>
    </row>
    <row r="28" spans="3:19">
      <c r="C28" s="231" t="s">
        <v>64</v>
      </c>
      <c r="D28" s="240" t="s">
        <v>77</v>
      </c>
      <c r="E28" s="113">
        <v>47.124937999999993</v>
      </c>
      <c r="F28" s="129">
        <v>43.729200999999996</v>
      </c>
      <c r="G28" s="306">
        <f t="shared" si="0"/>
        <v>-7.2058174378924367E-2</v>
      </c>
      <c r="H28" s="203">
        <v>486.99589899999995</v>
      </c>
      <c r="I28" s="129">
        <v>500.20540765443718</v>
      </c>
      <c r="J28" s="130">
        <f t="shared" si="1"/>
        <v>2.7124476164094524E-2</v>
      </c>
    </row>
    <row r="29" spans="3:19">
      <c r="C29" s="331" t="s">
        <v>76</v>
      </c>
      <c r="D29" s="332"/>
      <c r="E29" s="160">
        <f>SUM(E30:E31)</f>
        <v>173.04825719950765</v>
      </c>
      <c r="F29" s="161">
        <f>SUM(F30:F31)</f>
        <v>177.33338016188691</v>
      </c>
      <c r="G29" s="162">
        <f t="shared" si="0"/>
        <v>2.4762589532692836E-2</v>
      </c>
      <c r="H29" s="202">
        <f>SUM(H30:H31)</f>
        <v>1858.231255761671</v>
      </c>
      <c r="I29" s="161">
        <f>SUM(I30:I31)</f>
        <v>1834.1962373592426</v>
      </c>
      <c r="J29" s="162">
        <f t="shared" si="1"/>
        <v>-1.2934352668918403E-2</v>
      </c>
      <c r="Q29" s="41"/>
      <c r="R29" s="41"/>
      <c r="S29" s="41"/>
    </row>
    <row r="30" spans="3:19">
      <c r="C30" s="235" t="s">
        <v>68</v>
      </c>
      <c r="D30" s="124"/>
      <c r="E30" s="313">
        <v>43.277471000000006</v>
      </c>
      <c r="F30" s="314">
        <v>43.358362999999997</v>
      </c>
      <c r="G30" s="306">
        <f t="shared" si="0"/>
        <v>1.8691480377859282E-3</v>
      </c>
      <c r="H30" s="203">
        <v>485.96722899999997</v>
      </c>
      <c r="I30" s="129">
        <v>499.48483746466292</v>
      </c>
      <c r="J30" s="130">
        <f t="shared" si="1"/>
        <v>2.7815884812806946E-2</v>
      </c>
    </row>
    <row r="31" spans="3:19" ht="13.5" thickBot="1">
      <c r="C31" s="236" t="s">
        <v>64</v>
      </c>
      <c r="D31" s="237"/>
      <c r="E31" s="118">
        <v>129.77078619950765</v>
      </c>
      <c r="F31" s="132">
        <v>133.97501716188691</v>
      </c>
      <c r="G31" s="133">
        <f t="shared" si="0"/>
        <v>3.2397360650306517E-2</v>
      </c>
      <c r="H31" s="204">
        <v>1372.2640267616712</v>
      </c>
      <c r="I31" s="132">
        <v>1334.7113998945797</v>
      </c>
      <c r="J31" s="133">
        <f t="shared" si="1"/>
        <v>-2.7365453101404813E-2</v>
      </c>
    </row>
    <row r="32" spans="3:19" ht="14.25" thickTop="1" thickBot="1">
      <c r="C32" s="326" t="s">
        <v>108</v>
      </c>
      <c r="D32" s="327"/>
      <c r="E32" s="163">
        <f>SUM(E25,E29)</f>
        <v>5019.138122199508</v>
      </c>
      <c r="F32" s="164">
        <f>SUM(F25,F29)</f>
        <v>5214.1508442568884</v>
      </c>
      <c r="G32" s="165">
        <f t="shared" si="0"/>
        <v>3.8853826555369064E-2</v>
      </c>
      <c r="H32" s="205">
        <f>SUM(H25,H29)</f>
        <v>57397.015803761708</v>
      </c>
      <c r="I32" s="164">
        <f>SUM(I25,I29)</f>
        <v>59642.780066435531</v>
      </c>
      <c r="J32" s="165">
        <f t="shared" si="1"/>
        <v>3.9126847123063246E-2</v>
      </c>
    </row>
    <row r="33" spans="3:19">
      <c r="C33" s="266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73"/>
    </row>
    <row r="35" spans="3:19">
      <c r="C35" s="5" t="s">
        <v>125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36" t="s">
        <v>122</v>
      </c>
      <c r="F38" s="337"/>
      <c r="G38" s="338" t="s">
        <v>74</v>
      </c>
      <c r="H38" s="340" t="s">
        <v>123</v>
      </c>
      <c r="I38" s="341"/>
      <c r="J38" s="338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39"/>
      <c r="H39" s="201">
        <v>2021</v>
      </c>
      <c r="I39" s="126">
        <v>2022</v>
      </c>
      <c r="J39" s="339"/>
      <c r="Q39" s="41" t="s">
        <v>66</v>
      </c>
      <c r="R39" s="54">
        <f>SUM(E41,E46)</f>
        <v>3016.6560932193688</v>
      </c>
      <c r="S39" s="54">
        <f>SUM(F41,F46)</f>
        <v>2904.3728971232476</v>
      </c>
    </row>
    <row r="40" spans="3:19">
      <c r="C40" s="331" t="s">
        <v>68</v>
      </c>
      <c r="D40" s="332"/>
      <c r="E40" s="160">
        <f>SUM(E41:E44)</f>
        <v>4842.2423980000003</v>
      </c>
      <c r="F40" s="161">
        <f>SUM(F41:F44)</f>
        <v>5036.4466260949994</v>
      </c>
      <c r="G40" s="162">
        <f>((F40/E40)-1)</f>
        <v>4.0106259070221695E-2</v>
      </c>
      <c r="H40" s="202">
        <f>SUM(H41:H44)</f>
        <v>55537.755877999982</v>
      </c>
      <c r="I40" s="161">
        <f>SUM(I41:I44)</f>
        <v>57807.863258886508</v>
      </c>
      <c r="J40" s="162">
        <f>((I40/H40)-1)</f>
        <v>4.0875028978003325E-2</v>
      </c>
      <c r="Q40" s="41" t="s">
        <v>65</v>
      </c>
      <c r="R40" s="54">
        <f>SUM(E42,E47)</f>
        <v>1780.1947859801389</v>
      </c>
      <c r="S40" s="54">
        <f>SUM(F42,F47)</f>
        <v>2089.4149678036388</v>
      </c>
    </row>
    <row r="41" spans="3:19">
      <c r="C41" s="128" t="s">
        <v>66</v>
      </c>
      <c r="D41" s="69"/>
      <c r="E41" s="113">
        <v>2960.4199370000006</v>
      </c>
      <c r="F41" s="129">
        <v>2850.6874063774999</v>
      </c>
      <c r="G41" s="130">
        <f t="shared" ref="G41:G48" si="2">((F41/E41)-1)</f>
        <v>-3.7066542233092914E-2</v>
      </c>
      <c r="H41" s="203">
        <v>31293.61100399998</v>
      </c>
      <c r="I41" s="129">
        <v>29161.945477729005</v>
      </c>
      <c r="J41" s="130">
        <f t="shared" ref="J41:J48" si="3">((I41/H41)-1)</f>
        <v>-6.8118234293846891E-2</v>
      </c>
      <c r="Q41" s="41" t="s">
        <v>67</v>
      </c>
      <c r="R41" s="54">
        <f>E43</f>
        <v>150.47748800000002</v>
      </c>
      <c r="S41" s="54">
        <f>F43</f>
        <v>147.58806147000001</v>
      </c>
    </row>
    <row r="42" spans="3:19">
      <c r="C42" s="128" t="s">
        <v>65</v>
      </c>
      <c r="D42" s="69"/>
      <c r="E42" s="113">
        <v>1659.5352179999995</v>
      </c>
      <c r="F42" s="129">
        <v>1965.3962403874996</v>
      </c>
      <c r="G42" s="130">
        <f t="shared" si="2"/>
        <v>0.18430523141058175</v>
      </c>
      <c r="H42" s="203">
        <v>21619.872432</v>
      </c>
      <c r="I42" s="129">
        <v>25893.138135582503</v>
      </c>
      <c r="J42" s="130">
        <f t="shared" si="3"/>
        <v>0.19765452904604364</v>
      </c>
      <c r="Q42" s="41" t="s">
        <v>5</v>
      </c>
      <c r="R42" s="54">
        <f>E44</f>
        <v>71.80975500000001</v>
      </c>
      <c r="S42" s="54">
        <f>F44</f>
        <v>72.774917860000002</v>
      </c>
    </row>
    <row r="43" spans="3:19">
      <c r="C43" s="128" t="s">
        <v>67</v>
      </c>
      <c r="D43" s="69"/>
      <c r="E43" s="113">
        <v>150.47748800000002</v>
      </c>
      <c r="F43" s="129">
        <v>147.58806147000001</v>
      </c>
      <c r="G43" s="130">
        <f t="shared" si="2"/>
        <v>-1.9201719595425493E-2</v>
      </c>
      <c r="H43" s="203">
        <v>1822.574989</v>
      </c>
      <c r="I43" s="129">
        <v>1931.3280319700004</v>
      </c>
      <c r="J43" s="130">
        <f t="shared" si="3"/>
        <v>5.9669996365784961E-2</v>
      </c>
    </row>
    <row r="44" spans="3:19">
      <c r="C44" s="128" t="s">
        <v>5</v>
      </c>
      <c r="D44" s="69"/>
      <c r="E44" s="113">
        <v>71.80975500000001</v>
      </c>
      <c r="F44" s="129">
        <v>72.774917860000002</v>
      </c>
      <c r="G44" s="309">
        <f t="shared" si="2"/>
        <v>1.3440553584955106E-2</v>
      </c>
      <c r="H44" s="203">
        <v>801.69745299999977</v>
      </c>
      <c r="I44" s="129">
        <v>821.45161360500003</v>
      </c>
      <c r="J44" s="130">
        <f t="shared" si="3"/>
        <v>2.4640418316260071E-2</v>
      </c>
      <c r="Q44" s="41"/>
      <c r="R44" s="41"/>
      <c r="S44" s="41"/>
    </row>
    <row r="45" spans="3:19">
      <c r="C45" s="331" t="s">
        <v>64</v>
      </c>
      <c r="D45" s="332"/>
      <c r="E45" s="160">
        <f>SUM(E46:E47)</f>
        <v>176.89572419950764</v>
      </c>
      <c r="F45" s="161">
        <f>SUM(F46:F47)</f>
        <v>177.7042181618869</v>
      </c>
      <c r="G45" s="162">
        <f t="shared" si="2"/>
        <v>4.5704550861129789E-3</v>
      </c>
      <c r="H45" s="202">
        <f>SUM(H46:H47)</f>
        <v>1859.2599257616716</v>
      </c>
      <c r="I45" s="161">
        <f>SUM(I46:I47)</f>
        <v>1834.9168075490165</v>
      </c>
      <c r="J45" s="162">
        <f t="shared" si="3"/>
        <v>-1.3092907492578076E-2</v>
      </c>
    </row>
    <row r="46" spans="3:19">
      <c r="C46" s="128" t="s">
        <v>66</v>
      </c>
      <c r="D46" s="69"/>
      <c r="E46" s="113">
        <v>56.236156219368347</v>
      </c>
      <c r="F46" s="129">
        <v>53.685490745747636</v>
      </c>
      <c r="G46" s="130">
        <f t="shared" si="2"/>
        <v>-4.5356326696137761E-2</v>
      </c>
      <c r="H46" s="203">
        <v>632.06993200000011</v>
      </c>
      <c r="I46" s="129">
        <v>578.38075765421195</v>
      </c>
      <c r="J46" s="130">
        <f t="shared" si="3"/>
        <v>-8.4941826256320296E-2</v>
      </c>
    </row>
    <row r="47" spans="3:19" ht="13.5" thickBot="1">
      <c r="C47" s="131" t="s">
        <v>65</v>
      </c>
      <c r="D47" s="69"/>
      <c r="E47" s="118">
        <v>120.6595679801393</v>
      </c>
      <c r="F47" s="132">
        <v>124.01872741613927</v>
      </c>
      <c r="G47" s="133">
        <f t="shared" si="2"/>
        <v>2.7839975662376837E-2</v>
      </c>
      <c r="H47" s="204">
        <v>1227.1899937616715</v>
      </c>
      <c r="I47" s="132">
        <v>1256.5360498948046</v>
      </c>
      <c r="J47" s="133">
        <f t="shared" si="3"/>
        <v>2.391321334293095E-2</v>
      </c>
    </row>
    <row r="48" spans="3:19" ht="14.25" thickTop="1" thickBot="1">
      <c r="C48" s="326" t="s">
        <v>108</v>
      </c>
      <c r="D48" s="327"/>
      <c r="E48" s="163">
        <f>SUM(E40,E45)</f>
        <v>5019.138122199508</v>
      </c>
      <c r="F48" s="164">
        <f>SUM(F40,F45)</f>
        <v>5214.1508442568866</v>
      </c>
      <c r="G48" s="165">
        <f t="shared" si="2"/>
        <v>3.885382655536862E-2</v>
      </c>
      <c r="H48" s="205">
        <f>SUM(H40,H45)</f>
        <v>57397.015803761657</v>
      </c>
      <c r="I48" s="164">
        <f>SUM(I40,I45)</f>
        <v>59642.780066435524</v>
      </c>
      <c r="J48" s="165">
        <f t="shared" si="3"/>
        <v>3.9126847123063913E-2</v>
      </c>
    </row>
    <row r="49" spans="3:23">
      <c r="C49" s="227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126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36" t="s">
        <v>122</v>
      </c>
      <c r="F54" s="337"/>
      <c r="G54" s="338" t="s">
        <v>74</v>
      </c>
      <c r="H54" s="340" t="s">
        <v>123</v>
      </c>
      <c r="I54" s="341"/>
      <c r="J54" s="338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39"/>
      <c r="H55" s="201">
        <v>2021</v>
      </c>
      <c r="I55" s="126">
        <v>2022</v>
      </c>
      <c r="J55" s="339"/>
      <c r="L55" s="36"/>
      <c r="M55" s="36"/>
    </row>
    <row r="56" spans="3:23">
      <c r="C56" s="331" t="s">
        <v>68</v>
      </c>
      <c r="D56" s="332"/>
      <c r="E56" s="160">
        <f>SUM(E57:E60)</f>
        <v>4842.2423980000003</v>
      </c>
      <c r="F56" s="161">
        <f>SUM(F57:F60)</f>
        <v>5036.4466260949994</v>
      </c>
      <c r="G56" s="162">
        <f>((F56/E56)-1)</f>
        <v>4.0106259070221695E-2</v>
      </c>
      <c r="H56" s="202">
        <f>SUM(H57:H60)</f>
        <v>55537.755877999982</v>
      </c>
      <c r="I56" s="161">
        <f>SUM(I57:I60)</f>
        <v>57807.863258886508</v>
      </c>
      <c r="J56" s="162">
        <f>((I56/H56)-1)</f>
        <v>4.0875028978003325E-2</v>
      </c>
    </row>
    <row r="57" spans="3:23" ht="25.5">
      <c r="C57" s="329" t="s">
        <v>78</v>
      </c>
      <c r="D57" s="242" t="s">
        <v>79</v>
      </c>
      <c r="E57" s="276">
        <f>SUM(E43:E44)+27.730876</f>
        <v>250.01811900000004</v>
      </c>
      <c r="F57" s="277">
        <f>SUM(F43:F44)+25.28679854</f>
        <v>245.64977787000004</v>
      </c>
      <c r="G57" s="140">
        <f t="shared" ref="G57:G65" si="4">((F57/E57)-1)</f>
        <v>-1.7472098212209963E-2</v>
      </c>
      <c r="H57" s="219">
        <f>SUM(H43:H44)+356.382931</f>
        <v>2980.6553729999996</v>
      </c>
      <c r="I57" s="277">
        <f>SUM(I43:I44)+354.0107596175</f>
        <v>3106.7904051925002</v>
      </c>
      <c r="J57" s="140">
        <f t="shared" ref="J57:J65" si="5">((I57/H57)-1)</f>
        <v>4.2317885299683944E-2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30"/>
      <c r="D58" s="243" t="s">
        <v>110</v>
      </c>
      <c r="E58" s="232">
        <v>228.64912972000008</v>
      </c>
      <c r="F58" s="280">
        <v>226.31990822999984</v>
      </c>
      <c r="G58" s="241">
        <f t="shared" si="4"/>
        <v>-1.018688106468002E-2</v>
      </c>
      <c r="H58" s="234">
        <v>2319.7558028949993</v>
      </c>
      <c r="I58" s="233">
        <v>2025.11135139</v>
      </c>
      <c r="J58" s="241">
        <f t="shared" si="5"/>
        <v>-0.12701528804768591</v>
      </c>
      <c r="L58" s="36"/>
      <c r="M58" s="36"/>
      <c r="Q58" s="335" t="s">
        <v>80</v>
      </c>
      <c r="R58" s="41" t="s">
        <v>66</v>
      </c>
      <c r="T58" s="54">
        <f>SUM(E60,E64)</f>
        <v>2788.0069634993688</v>
      </c>
      <c r="U58" s="54">
        <f>SUM(F60,F64)</f>
        <v>2678.0529888932479</v>
      </c>
      <c r="V58" s="119">
        <f t="shared" ref="V58:W61" si="6">T58/T$64</f>
        <v>0.55547524208749943</v>
      </c>
      <c r="W58" s="119">
        <f t="shared" si="6"/>
        <v>0.51361248818548899</v>
      </c>
    </row>
    <row r="59" spans="3:23">
      <c r="C59" s="328" t="s">
        <v>80</v>
      </c>
      <c r="D59" s="244" t="s">
        <v>81</v>
      </c>
      <c r="E59" s="113">
        <f>SUM(E42:E44)-E57</f>
        <v>1631.8043419999995</v>
      </c>
      <c r="F59" s="129">
        <f>SUM(F42:F44)-F57</f>
        <v>1940.1094418475</v>
      </c>
      <c r="G59" s="130">
        <f t="shared" si="4"/>
        <v>0.18893508977285256</v>
      </c>
      <c r="H59" s="203">
        <f>SUM(H42:H44)-H57</f>
        <v>21263.489501000004</v>
      </c>
      <c r="I59" s="129">
        <f>SUM(I42:I44)-I57</f>
        <v>25539.127375965003</v>
      </c>
      <c r="J59" s="130">
        <f t="shared" si="5"/>
        <v>0.2010788433744104</v>
      </c>
      <c r="Q59" s="335"/>
      <c r="R59" s="41" t="s">
        <v>65</v>
      </c>
      <c r="T59" s="54">
        <f>SUM(E59,E63)</f>
        <v>1735.9352399801387</v>
      </c>
      <c r="U59" s="54">
        <f>SUM(F59,F63)</f>
        <v>2041.5038402636392</v>
      </c>
      <c r="V59" s="119">
        <f t="shared" si="6"/>
        <v>0.34586321350714488</v>
      </c>
      <c r="W59" s="119">
        <f t="shared" si="6"/>
        <v>0.39153141158396837</v>
      </c>
    </row>
    <row r="60" spans="3:23">
      <c r="C60" s="328"/>
      <c r="D60" s="245" t="s">
        <v>41</v>
      </c>
      <c r="E60" s="113">
        <f>E41-E58</f>
        <v>2731.7708072800006</v>
      </c>
      <c r="F60" s="129">
        <f>F41-F58</f>
        <v>2624.3674981475001</v>
      </c>
      <c r="G60" s="130">
        <f t="shared" si="4"/>
        <v>-3.931636901832225E-2</v>
      </c>
      <c r="H60" s="203">
        <f>H41-H58</f>
        <v>28973.85520110498</v>
      </c>
      <c r="I60" s="129">
        <f>I41-I58</f>
        <v>27136.834126339003</v>
      </c>
      <c r="J60" s="130">
        <f t="shared" si="5"/>
        <v>-6.3402714689342332E-2</v>
      </c>
      <c r="Q60" s="335" t="s">
        <v>78</v>
      </c>
      <c r="R60" s="41" t="s">
        <v>66</v>
      </c>
      <c r="T60" s="54">
        <f>E58</f>
        <v>228.64912972000008</v>
      </c>
      <c r="U60" s="54">
        <f>F58</f>
        <v>226.31990822999984</v>
      </c>
      <c r="V60" s="119">
        <f t="shared" si="6"/>
        <v>4.5555456764318034E-2</v>
      </c>
      <c r="W60" s="119">
        <f t="shared" si="6"/>
        <v>4.3404940706554228E-2</v>
      </c>
    </row>
    <row r="61" spans="3:23">
      <c r="C61" s="331" t="s">
        <v>64</v>
      </c>
      <c r="D61" s="332"/>
      <c r="E61" s="160">
        <f>SUM(E62:E64)</f>
        <v>176.89572419950764</v>
      </c>
      <c r="F61" s="161">
        <f>SUM(F62:F64)</f>
        <v>177.7042181618869</v>
      </c>
      <c r="G61" s="162">
        <f t="shared" si="4"/>
        <v>4.5704550861129789E-3</v>
      </c>
      <c r="H61" s="202">
        <f>SUM(H62:H64)</f>
        <v>1859.2599257616716</v>
      </c>
      <c r="I61" s="161">
        <f>SUM(I62:I64)</f>
        <v>1834.9168075490165</v>
      </c>
      <c r="J61" s="162">
        <f t="shared" si="5"/>
        <v>-1.3092907492578076E-2</v>
      </c>
      <c r="Q61" s="335"/>
      <c r="R61" s="41" t="s">
        <v>89</v>
      </c>
      <c r="T61" s="54">
        <f>E57+E62</f>
        <v>266.54678900000005</v>
      </c>
      <c r="U61" s="54">
        <f>F57+F62</f>
        <v>268.27410687000003</v>
      </c>
      <c r="V61" s="119">
        <f t="shared" si="6"/>
        <v>5.3106087641037615E-2</v>
      </c>
      <c r="W61" s="119">
        <f t="shared" si="6"/>
        <v>5.1451159523988432E-2</v>
      </c>
    </row>
    <row r="62" spans="3:23">
      <c r="C62" s="267" t="s">
        <v>78</v>
      </c>
      <c r="D62" s="268" t="s">
        <v>114</v>
      </c>
      <c r="E62" s="304">
        <v>16.528670000000002</v>
      </c>
      <c r="F62" s="278">
        <v>22.624328999999999</v>
      </c>
      <c r="G62" s="269">
        <f t="shared" si="4"/>
        <v>0.36879307288487206</v>
      </c>
      <c r="H62" s="279">
        <v>205.85432299999999</v>
      </c>
      <c r="I62" s="278">
        <v>200.97081599999999</v>
      </c>
      <c r="J62" s="269">
        <f t="shared" si="5"/>
        <v>-2.3723120937324205E-2</v>
      </c>
      <c r="Q62" s="41"/>
      <c r="R62" s="41"/>
      <c r="T62" s="41"/>
      <c r="U62" s="41"/>
      <c r="V62" s="41"/>
      <c r="W62" s="41"/>
    </row>
    <row r="63" spans="3:23">
      <c r="C63" s="333" t="s">
        <v>80</v>
      </c>
      <c r="D63" s="244" t="s">
        <v>81</v>
      </c>
      <c r="E63" s="113">
        <f>E47-E62</f>
        <v>104.1308979801393</v>
      </c>
      <c r="F63" s="129">
        <f>F47-F62</f>
        <v>101.39439841613927</v>
      </c>
      <c r="G63" s="130">
        <f>((F63/E63)-1)</f>
        <v>-2.627941962549829E-2</v>
      </c>
      <c r="H63" s="203">
        <f>H47-H62</f>
        <v>1021.3356707616715</v>
      </c>
      <c r="I63" s="129">
        <f>I47-I62</f>
        <v>1055.5652338948046</v>
      </c>
      <c r="J63" s="306">
        <f>((I63/H63)-1)</f>
        <v>3.3514508611655502E-2</v>
      </c>
      <c r="Q63" s="41"/>
      <c r="R63" s="41"/>
      <c r="T63" s="41"/>
      <c r="U63" s="41"/>
      <c r="V63" s="41"/>
      <c r="W63" s="41"/>
    </row>
    <row r="64" spans="3:23" ht="13.5" thickBot="1">
      <c r="C64" s="334"/>
      <c r="D64" s="246" t="s">
        <v>41</v>
      </c>
      <c r="E64" s="118">
        <f>E46</f>
        <v>56.236156219368347</v>
      </c>
      <c r="F64" s="132">
        <f>F46</f>
        <v>53.685490745747636</v>
      </c>
      <c r="G64" s="133">
        <f t="shared" si="4"/>
        <v>-4.5356326696137761E-2</v>
      </c>
      <c r="H64" s="204">
        <f>H46</f>
        <v>632.06993200000011</v>
      </c>
      <c r="I64" s="132">
        <f>I46</f>
        <v>578.38075765421195</v>
      </c>
      <c r="J64" s="133">
        <f t="shared" si="5"/>
        <v>-8.4941826256320296E-2</v>
      </c>
      <c r="Q64" s="41"/>
      <c r="R64" s="41"/>
      <c r="T64" s="54">
        <f>SUM(T58:T61)</f>
        <v>5019.138122199508</v>
      </c>
      <c r="U64" s="54">
        <f>SUM(U58:U61)</f>
        <v>5214.1508442568866</v>
      </c>
      <c r="V64" s="41"/>
      <c r="W64" s="41"/>
    </row>
    <row r="65" spans="3:22" ht="14.25" thickTop="1" thickBot="1">
      <c r="C65" s="326" t="s">
        <v>108</v>
      </c>
      <c r="D65" s="327"/>
      <c r="E65" s="163">
        <f>SUM(E56,E61)</f>
        <v>5019.138122199508</v>
      </c>
      <c r="F65" s="164">
        <f>SUM(F56,F61)</f>
        <v>5214.1508442568866</v>
      </c>
      <c r="G65" s="165">
        <f t="shared" si="4"/>
        <v>3.885382655536862E-2</v>
      </c>
      <c r="H65" s="205">
        <f>SUM(H56,H61)</f>
        <v>57397.015803761657</v>
      </c>
      <c r="I65" s="164">
        <f>SUM(I56,I61)</f>
        <v>59642.780066435524</v>
      </c>
      <c r="J65" s="165">
        <f t="shared" si="5"/>
        <v>3.9126847123063913E-2</v>
      </c>
      <c r="Q65" s="41"/>
      <c r="R65" s="41"/>
      <c r="S65" s="41"/>
      <c r="T65" s="41"/>
      <c r="U65" s="41"/>
      <c r="V65" s="41"/>
    </row>
    <row r="66" spans="3:22">
      <c r="C66" s="227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zoomScale="110" zoomScaleNormal="100" zoomScaleSheetLayoutView="110" workbookViewId="0">
      <selection activeCell="B2" sqref="B2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2904.3728971232476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1961.4394414074998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79.371014856141301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47.911127539999995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147.58806147000001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72.774917860000002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0.693384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5214.1508442568884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3"/>
      <c r="G24" s="226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127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7" t="s">
        <v>61</v>
      </c>
      <c r="D27" s="350" t="s">
        <v>122</v>
      </c>
      <c r="E27" s="350"/>
      <c r="F27" s="346" t="s">
        <v>74</v>
      </c>
      <c r="G27" s="344" t="s">
        <v>123</v>
      </c>
      <c r="H27" s="345"/>
      <c r="I27" s="346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8"/>
      <c r="D28" s="75">
        <v>2022</v>
      </c>
      <c r="E28" s="76">
        <v>2023</v>
      </c>
      <c r="F28" s="347"/>
      <c r="G28" s="206">
        <v>2021</v>
      </c>
      <c r="H28" s="76">
        <v>2022</v>
      </c>
      <c r="I28" s="347"/>
      <c r="M28" s="42" t="s">
        <v>85</v>
      </c>
      <c r="N28" s="53">
        <f t="shared" ref="N28:O29" si="1">D29</f>
        <v>3016.6560932193688</v>
      </c>
      <c r="O28" s="53">
        <f t="shared" si="1"/>
        <v>2904.3728971232476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3016.6560932193688</v>
      </c>
      <c r="E29" s="139">
        <f>'Resumen (G)'!F41+'Resumen (G)'!F46</f>
        <v>2904.3728971232476</v>
      </c>
      <c r="F29" s="140">
        <f>+E29/D29-1</f>
        <v>-3.722107944240105E-2</v>
      </c>
      <c r="G29" s="219">
        <f>'Resumen (G)'!H41+'Resumen (G)'!H46</f>
        <v>31925.680935999979</v>
      </c>
      <c r="H29" s="139">
        <f>'Resumen (G)'!I41+'Resumen (G)'!I46</f>
        <v>29740.326235383218</v>
      </c>
      <c r="I29" s="140">
        <f>+H29/G29-1</f>
        <v>-6.845131056085052E-2</v>
      </c>
      <c r="J29" s="36"/>
      <c r="M29" s="42" t="s">
        <v>2</v>
      </c>
      <c r="N29" s="53">
        <f t="shared" si="1"/>
        <v>1654.5982149999998</v>
      </c>
      <c r="O29" s="53">
        <f t="shared" si="1"/>
        <v>1961.4394414074998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1654.5982149999998</v>
      </c>
      <c r="E30" s="143">
        <v>1961.4394414074998</v>
      </c>
      <c r="F30" s="144">
        <f t="shared" ref="F30:F37" si="2">+E30/D30-1</f>
        <v>0.18544757490113706</v>
      </c>
      <c r="G30" s="220">
        <v>21335.433389000002</v>
      </c>
      <c r="H30" s="143">
        <v>25333.578817149999</v>
      </c>
      <c r="I30" s="144">
        <f t="shared" ref="I30:I37" si="3">+H30/G30-1</f>
        <v>0.18739461979766192</v>
      </c>
      <c r="J30" s="224"/>
      <c r="K30" s="225"/>
      <c r="M30" s="42" t="s">
        <v>84</v>
      </c>
      <c r="N30" s="53">
        <f>D32</f>
        <v>79.513424980138552</v>
      </c>
      <c r="O30" s="53">
        <f>E32</f>
        <v>79.371014856141301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15" t="s">
        <v>119</v>
      </c>
      <c r="E31" s="323" t="s">
        <v>119</v>
      </c>
      <c r="F31" s="144"/>
      <c r="G31" s="319" t="s">
        <v>119</v>
      </c>
      <c r="H31" s="316">
        <v>2.4829819999999999E-2</v>
      </c>
      <c r="I31" s="144"/>
      <c r="J31" s="224"/>
      <c r="K31" s="225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79.513424980138552</v>
      </c>
      <c r="E32" s="143">
        <f>'Resumen (G)'!F32-SUM('TipoRecurso (G)'!E29:E30,'TipoRecurso (G)'!E33:E36)</f>
        <v>79.371014856141301</v>
      </c>
      <c r="F32" s="325">
        <f t="shared" si="2"/>
        <v>-1.791019869070154E-3</v>
      </c>
      <c r="G32" s="220">
        <f>'Resumen (G)'!H32-SUM('TipoRecurso (G)'!G29:G30,'TipoRecurso (G)'!G33:G36)</f>
        <v>927.27563176172407</v>
      </c>
      <c r="H32" s="143">
        <f>'Resumen (G)'!I32-SUM('TipoRecurso (G)'!H29:H30,'TipoRecurso (G)'!H33:H36)</f>
        <v>1238.4328159801444</v>
      </c>
      <c r="I32" s="144">
        <f t="shared" si="3"/>
        <v>0.33556061818130067</v>
      </c>
      <c r="J32" s="36"/>
      <c r="M32" s="42" t="s">
        <v>4</v>
      </c>
      <c r="N32" s="77">
        <f>D36</f>
        <v>1.8235999999999999</v>
      </c>
      <c r="O32" s="77">
        <f>E36</f>
        <v>0.693384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44.259546</v>
      </c>
      <c r="E33" s="143">
        <f>'Resumen (G)'!F57+'Resumen (G)'!F62-SUM('TipoRecurso (G)'!E34:E35)</f>
        <v>47.911127539999995</v>
      </c>
      <c r="F33" s="144">
        <f t="shared" si="2"/>
        <v>8.2503818272333662E-2</v>
      </c>
      <c r="G33" s="220">
        <f>'Resumen (G)'!H57+'Resumen (G)'!H62-SUM('TipoRecurso (G)'!G34:G35)</f>
        <v>562.23725400000012</v>
      </c>
      <c r="H33" s="143">
        <f>'Resumen (G)'!I57+'Resumen (G)'!I62-SUM('TipoRecurso (G)'!H34:H35)</f>
        <v>554.98157561749986</v>
      </c>
      <c r="I33" s="144">
        <f t="shared" si="3"/>
        <v>-1.2905011773731156E-2</v>
      </c>
      <c r="M33" s="42" t="s">
        <v>90</v>
      </c>
      <c r="N33" s="53">
        <f t="shared" ref="N33:O35" si="4">D33</f>
        <v>44.259546</v>
      </c>
      <c r="O33" s="53">
        <f t="shared" si="4"/>
        <v>47.911127539999995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150.47748800000002</v>
      </c>
      <c r="E34" s="143">
        <f>'Resumen (G)'!F43</f>
        <v>147.58806147000001</v>
      </c>
      <c r="F34" s="144">
        <f t="shared" si="2"/>
        <v>-1.9201719595425493E-2</v>
      </c>
      <c r="G34" s="220">
        <f>'Resumen (G)'!H43</f>
        <v>1822.574989</v>
      </c>
      <c r="H34" s="143">
        <f>'Resumen (G)'!I43</f>
        <v>1931.3280319700004</v>
      </c>
      <c r="I34" s="144">
        <f t="shared" si="3"/>
        <v>5.9669996365784961E-2</v>
      </c>
      <c r="M34" s="42" t="s">
        <v>14</v>
      </c>
      <c r="N34" s="53">
        <f t="shared" si="4"/>
        <v>150.47748800000002</v>
      </c>
      <c r="O34" s="53">
        <f t="shared" si="4"/>
        <v>147.58806147000001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71.80975500000001</v>
      </c>
      <c r="E35" s="143">
        <f>'Resumen (G)'!F44</f>
        <v>72.774917860000002</v>
      </c>
      <c r="F35" s="144">
        <f t="shared" si="2"/>
        <v>1.3440553584955106E-2</v>
      </c>
      <c r="G35" s="220">
        <f>'Resumen (G)'!H44</f>
        <v>801.69745299999977</v>
      </c>
      <c r="H35" s="143">
        <f>'Resumen (G)'!I44</f>
        <v>821.45161360500003</v>
      </c>
      <c r="I35" s="144">
        <f t="shared" si="3"/>
        <v>2.4640418316260071E-2</v>
      </c>
      <c r="M35" s="42" t="s">
        <v>5</v>
      </c>
      <c r="N35" s="53">
        <f t="shared" si="4"/>
        <v>71.80975500000001</v>
      </c>
      <c r="O35" s="53">
        <f t="shared" si="4"/>
        <v>72.774917860000002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24">
        <v>1.8235999999999999</v>
      </c>
      <c r="E36" s="318">
        <v>0.693384</v>
      </c>
      <c r="F36" s="146">
        <f t="shared" si="2"/>
        <v>-0.61977187979820136</v>
      </c>
      <c r="G36" s="317">
        <v>22.116150999999999</v>
      </c>
      <c r="H36" s="318">
        <v>22.680976729672235</v>
      </c>
      <c r="I36" s="146">
        <f t="shared" si="3"/>
        <v>2.5539061008953867E-2</v>
      </c>
      <c r="N36" s="53">
        <f>SUM(N28:N35)</f>
        <v>5019.138122199508</v>
      </c>
      <c r="O36" s="53">
        <f>SUM(O28:O35)</f>
        <v>5214.1508442568884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9" t="s">
        <v>108</v>
      </c>
      <c r="D37" s="260">
        <f>SUM(D29:D36)</f>
        <v>5019.138122199508</v>
      </c>
      <c r="E37" s="261">
        <f>SUM(E29:E36)</f>
        <v>5214.1508442568884</v>
      </c>
      <c r="F37" s="262">
        <f t="shared" si="2"/>
        <v>3.8853826555369064E-2</v>
      </c>
      <c r="G37" s="263">
        <f>SUM(G29:G36)</f>
        <v>57397.015803761708</v>
      </c>
      <c r="H37" s="261">
        <f>SUM(H29:H36)</f>
        <v>59642.804896255533</v>
      </c>
      <c r="I37" s="264">
        <f t="shared" si="3"/>
        <v>3.9127279720815089E-2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7"/>
      <c r="N41" s="197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7">
        <f t="shared" ref="M42:N44" si="5">N28/N$36</f>
        <v>0.60103069885181737</v>
      </c>
      <c r="N42" s="197">
        <f t="shared" si="5"/>
        <v>0.55701742889204309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7">
        <f t="shared" si="5"/>
        <v>0.32965783660779485</v>
      </c>
      <c r="N43" s="197">
        <f t="shared" si="5"/>
        <v>0.3761761981949413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7">
        <f t="shared" si="5"/>
        <v>1.5842047587503696E-2</v>
      </c>
      <c r="N44" s="197">
        <f t="shared" si="5"/>
        <v>1.5222232195979577E-2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7">
        <f t="shared" ref="M45:N49" si="6">N32/N$36</f>
        <v>3.6332931184624465E-4</v>
      </c>
      <c r="N45" s="197">
        <f t="shared" si="6"/>
        <v>1.3298119304770898E-4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7">
        <f t="shared" si="6"/>
        <v>8.818156608251377E-3</v>
      </c>
      <c r="N46" s="197">
        <f t="shared" si="6"/>
        <v>9.1886730881158857E-3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7">
        <f t="shared" si="6"/>
        <v>2.9980742576985936E-2</v>
      </c>
      <c r="N47" s="197">
        <f t="shared" si="6"/>
        <v>2.830529186407418E-2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7">
        <f t="shared" si="6"/>
        <v>1.4307188455800302E-2</v>
      </c>
      <c r="N48" s="197">
        <f t="shared" si="6"/>
        <v>1.3957194571798346E-2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7">
        <f t="shared" si="6"/>
        <v>1</v>
      </c>
      <c r="N49" s="197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8">
        <f>SUM(M41:M48)</f>
        <v>0.99999999999999967</v>
      </c>
      <c r="N51" s="198">
        <f>SUM(N41:N48)</f>
        <v>1.0000000000000002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128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48" t="s">
        <v>91</v>
      </c>
      <c r="D55" s="350" t="s">
        <v>122</v>
      </c>
      <c r="E55" s="350"/>
      <c r="F55" s="346" t="s">
        <v>74</v>
      </c>
      <c r="G55" s="344" t="s">
        <v>123</v>
      </c>
      <c r="H55" s="345"/>
      <c r="I55" s="346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49"/>
      <c r="D56" s="75">
        <v>2022</v>
      </c>
      <c r="E56" s="76">
        <v>2023</v>
      </c>
      <c r="F56" s="347"/>
      <c r="G56" s="206">
        <v>2021</v>
      </c>
      <c r="H56" s="76">
        <v>2022</v>
      </c>
      <c r="I56" s="347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50" t="s">
        <v>42</v>
      </c>
      <c r="D57" s="251">
        <f>SUM(D29:D32,D36)</f>
        <v>4752.5913331995071</v>
      </c>
      <c r="E57" s="252">
        <f>SUM(E29:E32,E36)</f>
        <v>4945.8767373868886</v>
      </c>
      <c r="F57" s="253">
        <f>+E57/D57-1</f>
        <v>4.0669477057110992E-2</v>
      </c>
      <c r="G57" s="254">
        <f>SUM(G29:G32,G36)</f>
        <v>54210.506107761707</v>
      </c>
      <c r="H57" s="252">
        <f>SUM(H29:H32,H36)</f>
        <v>56335.043675063032</v>
      </c>
      <c r="I57" s="253">
        <f>+H57/G57-1</f>
        <v>3.9190513423322137E-2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5" t="s">
        <v>104</v>
      </c>
      <c r="D58" s="301">
        <f>SUM(D33:D35)</f>
        <v>266.54678900000005</v>
      </c>
      <c r="E58" s="256">
        <f>SUM(E33:E35)</f>
        <v>268.27410687000003</v>
      </c>
      <c r="F58" s="302">
        <f>+E58/D58-1</f>
        <v>6.4803551994767616E-3</v>
      </c>
      <c r="G58" s="307">
        <f>SUM(G33:G35)</f>
        <v>3186.5096960000001</v>
      </c>
      <c r="H58" s="256">
        <f>SUM(H33:H35)</f>
        <v>3307.7612211925002</v>
      </c>
      <c r="I58" s="308">
        <f>+H58/G58-1</f>
        <v>3.8051516160363841E-2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5019.1381221995071</v>
      </c>
      <c r="E59" s="79">
        <f>SUM(E57:E58)</f>
        <v>5214.1508442568884</v>
      </c>
      <c r="F59" s="80">
        <f>+E59/D59-1</f>
        <v>3.8853826555369286E-2</v>
      </c>
      <c r="G59" s="221">
        <f>SUM(G57:G58)</f>
        <v>57397.015803761708</v>
      </c>
      <c r="H59" s="79">
        <f>SUM(H57:H58)</f>
        <v>59642.804896255533</v>
      </c>
      <c r="I59" s="80">
        <f>+H59/G59-1</f>
        <v>3.9127279720815089E-2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5.3106087641037629E-2</v>
      </c>
      <c r="E60" s="82">
        <f>+E58/E59</f>
        <v>5.1451159523988411E-2</v>
      </c>
      <c r="F60" s="83"/>
      <c r="G60" s="222">
        <f>+G58/G59</f>
        <v>5.5516992501745382E-2</v>
      </c>
      <c r="H60" s="82">
        <f>+H58/H59</f>
        <v>5.5459518158914867E-2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8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4752.5913331995071</v>
      </c>
      <c r="N65" s="59">
        <f>E57</f>
        <v>4945.8767373868886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266.54678900000005</v>
      </c>
      <c r="N66" s="59">
        <f>E58</f>
        <v>268.27410687000003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8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129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4"/>
      <c r="D78" s="350" t="s">
        <v>122</v>
      </c>
      <c r="E78" s="350"/>
      <c r="F78" s="84" t="s">
        <v>74</v>
      </c>
      <c r="G78" s="344" t="s">
        <v>123</v>
      </c>
      <c r="H78" s="345"/>
      <c r="I78" s="84" t="s">
        <v>74</v>
      </c>
      <c r="M78" s="42" t="s">
        <v>96</v>
      </c>
      <c r="N78" s="53">
        <f>D80</f>
        <v>51.2595675325</v>
      </c>
      <c r="O78" s="53">
        <f>E80</f>
        <v>43.389405955000001</v>
      </c>
    </row>
    <row r="79" spans="2:24" ht="12.75" customHeight="1">
      <c r="C79" s="299" t="s">
        <v>95</v>
      </c>
      <c r="D79" s="300">
        <v>2022</v>
      </c>
      <c r="E79" s="76">
        <v>2023</v>
      </c>
      <c r="F79" s="85"/>
      <c r="G79" s="293">
        <v>2021</v>
      </c>
      <c r="H79" s="76">
        <v>2022</v>
      </c>
      <c r="I79" s="85"/>
      <c r="M79" s="42" t="s">
        <v>97</v>
      </c>
      <c r="N79" s="53">
        <f>D81</f>
        <v>4790.9828304675002</v>
      </c>
      <c r="O79" s="53">
        <f>E81</f>
        <v>4993.0572201399991</v>
      </c>
    </row>
    <row r="80" spans="2:24" ht="12.75" customHeight="1">
      <c r="C80" s="110" t="s">
        <v>96</v>
      </c>
      <c r="D80" s="113">
        <v>51.2595675325</v>
      </c>
      <c r="E80" s="298">
        <v>43.389405955000001</v>
      </c>
      <c r="F80" s="130">
        <f>((E80/D80)-1)</f>
        <v>-0.15353546579397293</v>
      </c>
      <c r="G80" s="203">
        <v>86.455317049999962</v>
      </c>
      <c r="H80" s="298">
        <v>327.0636648075</v>
      </c>
      <c r="I80" s="130">
        <f>((H80/G80)-1)</f>
        <v>2.7830370180511661</v>
      </c>
      <c r="K80" s="54"/>
    </row>
    <row r="81" spans="3:15" ht="16.5" customHeight="1" thickBot="1">
      <c r="C81" s="115" t="s">
        <v>97</v>
      </c>
      <c r="D81" s="118">
        <f>'Resumen (G)'!E40-D80</f>
        <v>4790.9828304675002</v>
      </c>
      <c r="E81" s="281">
        <f>'Resumen (G)'!F40-E80</f>
        <v>4993.0572201399991</v>
      </c>
      <c r="F81" s="133">
        <f>((E81/D81)-1)</f>
        <v>4.2178065925730035E-2</v>
      </c>
      <c r="G81" s="204">
        <f>'Resumen (G)'!H40-G80</f>
        <v>55451.300560949981</v>
      </c>
      <c r="H81" s="281">
        <f>'Resumen (G)'!I40-H80</f>
        <v>57480.799594079006</v>
      </c>
      <c r="I81" s="133">
        <f>((H81/G81)-1)</f>
        <v>3.6599665158408179E-2</v>
      </c>
      <c r="M81" s="53"/>
      <c r="N81" s="53"/>
      <c r="O81" s="53"/>
    </row>
    <row r="82" spans="3:15" ht="14.25" thickTop="1" thickBot="1">
      <c r="C82" s="104" t="s">
        <v>94</v>
      </c>
      <c r="D82" s="199">
        <f>SUM(D80:D81)</f>
        <v>4842.2423980000003</v>
      </c>
      <c r="E82" s="282">
        <f>SUM(E80:E81)</f>
        <v>5036.4466260949994</v>
      </c>
      <c r="F82" s="105"/>
      <c r="G82" s="223">
        <f>SUM(G80:G81)</f>
        <v>55537.755877999982</v>
      </c>
      <c r="H82" s="282">
        <f>SUM(H80:H81)</f>
        <v>57807.863258886508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C55:C56"/>
    <mergeCell ref="D78:E78"/>
    <mergeCell ref="D27:E27"/>
    <mergeCell ref="F27:F28"/>
    <mergeCell ref="D55:E55"/>
    <mergeCell ref="F55:F56"/>
    <mergeCell ref="G27:H27"/>
    <mergeCell ref="I27:I28"/>
    <mergeCell ref="G55:H55"/>
    <mergeCell ref="I55:I56"/>
    <mergeCell ref="G78:H78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zoomScaleNormal="100" zoomScaleSheetLayoutView="100" workbookViewId="0">
      <selection activeCell="C2" sqref="C2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131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8" t="s">
        <v>44</v>
      </c>
      <c r="D8" s="358" t="s">
        <v>122</v>
      </c>
      <c r="E8" s="359"/>
      <c r="F8" s="346" t="s">
        <v>74</v>
      </c>
      <c r="G8" s="344" t="s">
        <v>123</v>
      </c>
      <c r="H8" s="345"/>
      <c r="I8" s="346" t="s">
        <v>74</v>
      </c>
      <c r="J8" s="16"/>
    </row>
    <row r="9" spans="3:13" ht="13.5" customHeight="1">
      <c r="C9" s="179"/>
      <c r="D9" s="88">
        <v>2022</v>
      </c>
      <c r="E9" s="76">
        <v>2023</v>
      </c>
      <c r="F9" s="347"/>
      <c r="G9" s="293">
        <v>2021</v>
      </c>
      <c r="H9" s="76">
        <v>2022</v>
      </c>
      <c r="I9" s="347"/>
      <c r="J9" s="16"/>
    </row>
    <row r="10" spans="3:13">
      <c r="C10" s="166" t="s">
        <v>10</v>
      </c>
      <c r="D10" s="167">
        <f>'Por Región (G)'!O8</f>
        <v>353.36930699999999</v>
      </c>
      <c r="E10" s="168">
        <f>'Por Región (G)'!P8</f>
        <v>334.76394457250007</v>
      </c>
      <c r="F10" s="169">
        <f>+E10/D10-1</f>
        <v>-5.2651325564899487E-2</v>
      </c>
      <c r="G10" s="289">
        <f>'Por Región (G)'!Q8</f>
        <v>3829.9579859999999</v>
      </c>
      <c r="H10" s="168">
        <f>'Por Región (G)'!R8</f>
        <v>3786.3600512917419</v>
      </c>
      <c r="I10" s="169">
        <f>+H10/G10-1</f>
        <v>-1.1383397642382942E-2</v>
      </c>
      <c r="J10" s="16"/>
      <c r="L10" s="41" t="s">
        <v>9</v>
      </c>
      <c r="M10" s="200">
        <f>E11</f>
        <v>4241.2938251282476</v>
      </c>
    </row>
    <row r="11" spans="3:13">
      <c r="C11" s="170" t="s">
        <v>9</v>
      </c>
      <c r="D11" s="171">
        <f>'Por Región (G)'!O9</f>
        <v>3975.1177972193682</v>
      </c>
      <c r="E11" s="172">
        <f>'Por Región (G)'!P9</f>
        <v>4241.2938251282476</v>
      </c>
      <c r="F11" s="173">
        <f>+E11/D11-1</f>
        <v>6.6960538400917757E-2</v>
      </c>
      <c r="G11" s="290">
        <f>'Por Región (G)'!Q9</f>
        <v>46238.766788000001</v>
      </c>
      <c r="H11" s="172">
        <f>'Por Región (G)'!R9</f>
        <v>48186.835829026248</v>
      </c>
      <c r="I11" s="173">
        <f>+H11/G11-1</f>
        <v>4.2130644399707817E-2</v>
      </c>
      <c r="J11" s="16"/>
      <c r="L11" s="41" t="s">
        <v>12</v>
      </c>
      <c r="M11" s="200">
        <f>E12</f>
        <v>601.44234957600008</v>
      </c>
    </row>
    <row r="12" spans="3:13">
      <c r="C12" s="170" t="s">
        <v>12</v>
      </c>
      <c r="D12" s="171">
        <f>'Por Región (G)'!O10</f>
        <v>653.9645270000002</v>
      </c>
      <c r="E12" s="172">
        <f>'Por Región (G)'!P10</f>
        <v>601.44234957600008</v>
      </c>
      <c r="F12" s="173">
        <f>+E12/D12-1</f>
        <v>-8.0313496000984363E-2</v>
      </c>
      <c r="G12" s="290">
        <f>'Por Región (G)'!Q10</f>
        <v>6915.9477129999996</v>
      </c>
      <c r="H12" s="172">
        <f>'Por Región (G)'!R10</f>
        <v>7248.958895355865</v>
      </c>
      <c r="I12" s="173">
        <f>+H12/G12-1</f>
        <v>4.8151200121119953E-2</v>
      </c>
      <c r="J12" s="16"/>
      <c r="L12" s="41" t="s">
        <v>10</v>
      </c>
      <c r="M12" s="200">
        <f>E10</f>
        <v>334.76394457250007</v>
      </c>
    </row>
    <row r="13" spans="3:13">
      <c r="C13" s="174" t="s">
        <v>11</v>
      </c>
      <c r="D13" s="175">
        <f>'Por Región (G)'!O11</f>
        <v>36.686489999999999</v>
      </c>
      <c r="E13" s="176">
        <f>'Por Región (G)'!P11</f>
        <v>36.650723999999997</v>
      </c>
      <c r="F13" s="177">
        <f>+E13/D13-1</f>
        <v>-9.7490929222177058E-4</v>
      </c>
      <c r="G13" s="291">
        <f>'Por Región (G)'!Q11</f>
        <v>412.34330499999999</v>
      </c>
      <c r="H13" s="176">
        <f>'Por Región (G)'!R11</f>
        <v>420.62527900000003</v>
      </c>
      <c r="I13" s="177">
        <f>+H13/G13-1</f>
        <v>2.0085142403367229E-2</v>
      </c>
      <c r="J13" s="16"/>
      <c r="L13" s="41" t="s">
        <v>11</v>
      </c>
      <c r="M13" s="200">
        <f>E13</f>
        <v>36.650723999999997</v>
      </c>
    </row>
    <row r="14" spans="3:13" ht="13.5" thickBot="1">
      <c r="C14" s="180" t="s">
        <v>108</v>
      </c>
      <c r="D14" s="181">
        <f>SUM(D10:D13)</f>
        <v>5019.1381212193683</v>
      </c>
      <c r="E14" s="182">
        <f>SUM(E10:E13)</f>
        <v>5214.1508432767478</v>
      </c>
      <c r="F14" s="183">
        <f>+E14/D14-1</f>
        <v>3.8853826562956328E-2</v>
      </c>
      <c r="G14" s="292">
        <f>SUM(G10:G13)</f>
        <v>57397.015792000006</v>
      </c>
      <c r="H14" s="182">
        <f>SUM(H10:H13)</f>
        <v>59642.780054673851</v>
      </c>
      <c r="I14" s="183">
        <f>+H14/G14-1</f>
        <v>3.9126847131081277E-2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55" t="s">
        <v>93</v>
      </c>
      <c r="D18" s="355"/>
      <c r="E18" s="355"/>
      <c r="F18" s="355"/>
      <c r="G18" s="356" t="s">
        <v>107</v>
      </c>
      <c r="H18" s="357"/>
      <c r="I18" s="357"/>
      <c r="J18" s="357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5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4" t="s">
        <v>98</v>
      </c>
      <c r="D53" s="69"/>
      <c r="E53" s="69"/>
      <c r="F53" s="69"/>
      <c r="G53" s="69"/>
      <c r="H53" s="69"/>
      <c r="I53" s="27"/>
    </row>
    <row r="54" spans="3:15" ht="15">
      <c r="C54" s="351" t="s">
        <v>13</v>
      </c>
      <c r="D54" s="353" t="s">
        <v>134</v>
      </c>
      <c r="E54" s="354"/>
      <c r="F54" s="354"/>
      <c r="G54" s="354"/>
      <c r="H54" s="354"/>
    </row>
    <row r="55" spans="3:15">
      <c r="C55" s="352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5" t="s">
        <v>10</v>
      </c>
      <c r="D56" s="286">
        <v>41.104699960000005</v>
      </c>
      <c r="E56" s="188">
        <v>145.93665192750004</v>
      </c>
      <c r="F56" s="188">
        <v>0</v>
      </c>
      <c r="G56" s="188">
        <v>147.72259268500002</v>
      </c>
      <c r="H56" s="188">
        <f>SUM(D56:G56)</f>
        <v>334.76394457250007</v>
      </c>
      <c r="I56" s="284"/>
      <c r="K56" s="265"/>
      <c r="L56" s="265"/>
      <c r="M56" s="265"/>
      <c r="N56" s="265"/>
      <c r="O56" s="265"/>
    </row>
    <row r="57" spans="3:15">
      <c r="C57" s="110" t="s">
        <v>9</v>
      </c>
      <c r="D57" s="287">
        <v>0</v>
      </c>
      <c r="E57" s="189">
        <v>2389.0946314257476</v>
      </c>
      <c r="F57" s="320">
        <v>0.19601025</v>
      </c>
      <c r="G57" s="189">
        <v>1852.0031834524996</v>
      </c>
      <c r="H57" s="189">
        <f>SUM(D57:G57)</f>
        <v>4241.2938251282476</v>
      </c>
      <c r="I57" s="284"/>
      <c r="K57" s="265"/>
      <c r="L57" s="265"/>
      <c r="M57" s="265"/>
      <c r="N57" s="265"/>
      <c r="O57" s="265"/>
    </row>
    <row r="58" spans="3:15">
      <c r="C58" s="110" t="s">
        <v>12</v>
      </c>
      <c r="D58" s="287">
        <v>106.48336151000001</v>
      </c>
      <c r="E58" s="189">
        <v>369.34161376999998</v>
      </c>
      <c r="F58" s="189">
        <v>72.578907610000002</v>
      </c>
      <c r="G58" s="189">
        <v>53.038466685999992</v>
      </c>
      <c r="H58" s="189">
        <f>SUM(D58:G58)</f>
        <v>601.44234957599997</v>
      </c>
      <c r="I58" s="284"/>
      <c r="K58" s="265"/>
      <c r="L58" s="265"/>
      <c r="M58" s="265"/>
      <c r="N58" s="265"/>
      <c r="O58" s="265"/>
    </row>
    <row r="59" spans="3:15">
      <c r="C59" s="186" t="s">
        <v>11</v>
      </c>
      <c r="D59" s="288">
        <v>0</v>
      </c>
      <c r="E59" s="190">
        <v>0</v>
      </c>
      <c r="F59" s="190">
        <v>0</v>
      </c>
      <c r="G59" s="190">
        <f>E13</f>
        <v>36.650723999999997</v>
      </c>
      <c r="H59" s="190">
        <f>SUM(D59:G59)</f>
        <v>36.650723999999997</v>
      </c>
      <c r="I59" s="284"/>
      <c r="L59" s="265"/>
      <c r="M59" s="265"/>
    </row>
    <row r="60" spans="3:15" ht="13.5" thickBot="1">
      <c r="C60" s="93" t="s">
        <v>108</v>
      </c>
      <c r="D60" s="191">
        <f>SUM(D56:D59)</f>
        <v>147.58806147000001</v>
      </c>
      <c r="E60" s="192">
        <f>SUM(E56:E59)</f>
        <v>2904.3728971232476</v>
      </c>
      <c r="F60" s="192">
        <f>SUM(F56:F59)</f>
        <v>72.774917860000002</v>
      </c>
      <c r="G60" s="192">
        <f>SUM(G56:G59)</f>
        <v>2089.4149668234995</v>
      </c>
      <c r="H60" s="192">
        <f>SUM(H56:H59)</f>
        <v>5214.1508432767478</v>
      </c>
    </row>
    <row r="61" spans="3:15" ht="6.75" customHeight="1"/>
    <row r="64" spans="3:15">
      <c r="E64" s="265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view="pageBreakPreview" zoomScaleNormal="100" zoomScaleSheetLayoutView="100" workbookViewId="0">
      <selection activeCell="C2" sqref="C2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58" t="s">
        <v>122</v>
      </c>
      <c r="E6" s="359"/>
      <c r="F6" s="346" t="s">
        <v>74</v>
      </c>
      <c r="G6" s="344" t="s">
        <v>123</v>
      </c>
      <c r="H6" s="345"/>
      <c r="I6" s="346" t="s">
        <v>74</v>
      </c>
      <c r="O6" s="36"/>
      <c r="P6" s="7"/>
      <c r="Q6" s="360" t="s">
        <v>116</v>
      </c>
      <c r="R6" s="360"/>
    </row>
    <row r="7" spans="3:19" ht="12.75" customHeight="1">
      <c r="C7" s="87"/>
      <c r="D7" s="88">
        <v>2022</v>
      </c>
      <c r="E7" s="76">
        <v>2023</v>
      </c>
      <c r="F7" s="347"/>
      <c r="G7" s="206">
        <v>2021</v>
      </c>
      <c r="H7" s="76">
        <v>2022</v>
      </c>
      <c r="I7" s="347"/>
      <c r="N7" s="41"/>
      <c r="O7" s="54">
        <v>2021</v>
      </c>
      <c r="P7" s="200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5">
        <v>4.899972</v>
      </c>
      <c r="E8" s="297">
        <v>2.9876369999999999</v>
      </c>
      <c r="F8" s="194">
        <f>+E8/D8-1</f>
        <v>-0.39027467912061542</v>
      </c>
      <c r="G8" s="303">
        <v>50.395209000000001</v>
      </c>
      <c r="H8" s="297">
        <v>46.816490999999999</v>
      </c>
      <c r="I8" s="194">
        <f>+H8/G8-1</f>
        <v>-7.1013059991476557E-2</v>
      </c>
      <c r="J8" s="16"/>
      <c r="K8" s="35"/>
      <c r="L8" s="35"/>
      <c r="N8" s="41" t="s">
        <v>10</v>
      </c>
      <c r="O8" s="54">
        <f>SUM(D8,D13,D20,D21,D27,D29,D31)</f>
        <v>353.36930699999999</v>
      </c>
      <c r="P8" s="54">
        <f>SUM(E8,E13,E20,E21,E27,E29,E31)</f>
        <v>334.76394457250007</v>
      </c>
      <c r="Q8" s="54">
        <f>SUM(G8,G13,G20,G21,G27,G29,G31)</f>
        <v>3829.9579859999999</v>
      </c>
      <c r="R8" s="54">
        <f>SUM(H8,H13,H20,H21,H27,H29,H31)</f>
        <v>3786.3600512917419</v>
      </c>
    </row>
    <row r="9" spans="3:19" ht="20.100000000000001" customHeight="1">
      <c r="C9" s="96" t="s">
        <v>18</v>
      </c>
      <c r="D9" s="193">
        <v>235.526197</v>
      </c>
      <c r="E9" s="247">
        <v>277.82602309250007</v>
      </c>
      <c r="F9" s="195">
        <f t="shared" ref="F9:F32" si="0">+E9/D9-1</f>
        <v>0.17959711756607732</v>
      </c>
      <c r="G9" s="207">
        <v>2357.0139059999997</v>
      </c>
      <c r="H9" s="247">
        <v>2135.5953203502936</v>
      </c>
      <c r="I9" s="195">
        <f t="shared" ref="I9:I32" si="1">+H9/G9-1</f>
        <v>-9.3940296697471504E-2</v>
      </c>
      <c r="J9" s="16"/>
      <c r="K9" s="35"/>
      <c r="L9" s="35"/>
      <c r="N9" s="41" t="s">
        <v>9</v>
      </c>
      <c r="O9" s="54">
        <f>SUM(D9,D14,D16,D17,D19,D22,D26,D32)</f>
        <v>3975.1177972193682</v>
      </c>
      <c r="P9" s="54">
        <f>SUM(E9,E14,E16,E17,E19,E22,E26,E32)</f>
        <v>4241.2938251282476</v>
      </c>
      <c r="Q9" s="54">
        <f>SUM(G9,G14,G16,G17,G19,G22,G26,G32)</f>
        <v>46238.766788000001</v>
      </c>
      <c r="R9" s="54">
        <f>SUM(H9,H14,H16,H17,H19,H22,H26,H32)</f>
        <v>48186.835829026248</v>
      </c>
    </row>
    <row r="10" spans="3:19" ht="20.100000000000001" customHeight="1">
      <c r="C10" s="97" t="s">
        <v>19</v>
      </c>
      <c r="D10" s="295">
        <v>4.4991259999999995</v>
      </c>
      <c r="E10" s="270">
        <v>4.1717159999999991</v>
      </c>
      <c r="F10" s="195">
        <f t="shared" si="0"/>
        <v>-7.27719117001836E-2</v>
      </c>
      <c r="G10" s="294">
        <v>45.498532999999995</v>
      </c>
      <c r="H10" s="270">
        <v>43.011354999999995</v>
      </c>
      <c r="I10" s="195">
        <f t="shared" si="1"/>
        <v>-5.466501524345857E-2</v>
      </c>
      <c r="J10" s="16"/>
      <c r="K10" s="35"/>
      <c r="L10" s="35"/>
      <c r="N10" s="41" t="s">
        <v>12</v>
      </c>
      <c r="O10" s="54">
        <f>SUM(D10,D11,D12,D15,D18,D24,D25,D28,D30)</f>
        <v>653.9645270000002</v>
      </c>
      <c r="P10" s="54">
        <f>SUM(E10,E11,E12,E15,E18,E24,E25,E28,E30)</f>
        <v>601.44234957600008</v>
      </c>
      <c r="Q10" s="54">
        <f>SUM(G10,G11,G12,G15,G18,G24,G25,G28,G30)</f>
        <v>6915.9477129999996</v>
      </c>
      <c r="R10" s="54">
        <f>SUM(H10,H11,H12,H15,H18,H24,H25,H28,H30)</f>
        <v>7248.958895355865</v>
      </c>
    </row>
    <row r="11" spans="3:19" ht="20.100000000000001" customHeight="1">
      <c r="C11" s="96" t="s">
        <v>20</v>
      </c>
      <c r="D11" s="193">
        <v>97.640248000000042</v>
      </c>
      <c r="E11" s="247">
        <v>82.564253785999995</v>
      </c>
      <c r="F11" s="195">
        <f t="shared" si="0"/>
        <v>-0.15440348137993298</v>
      </c>
      <c r="G11" s="207">
        <v>1217.4956840000002</v>
      </c>
      <c r="H11" s="247">
        <v>1201.8880957583726</v>
      </c>
      <c r="I11" s="195">
        <f t="shared" si="1"/>
        <v>-1.2819419770220386E-2</v>
      </c>
      <c r="J11" s="16"/>
      <c r="K11" s="35"/>
      <c r="L11" s="35"/>
      <c r="N11" s="275" t="s">
        <v>11</v>
      </c>
      <c r="O11" s="54">
        <f>D23</f>
        <v>36.686489999999999</v>
      </c>
      <c r="P11" s="54">
        <f>E23</f>
        <v>36.650723999999997</v>
      </c>
      <c r="Q11" s="54">
        <f>G23</f>
        <v>412.34330499999999</v>
      </c>
      <c r="R11" s="54">
        <f>H23</f>
        <v>420.62527900000003</v>
      </c>
    </row>
    <row r="12" spans="3:19" ht="20.100000000000001" customHeight="1">
      <c r="C12" s="96" t="s">
        <v>21</v>
      </c>
      <c r="D12" s="295">
        <v>1.094997</v>
      </c>
      <c r="E12" s="270">
        <v>1.0670119999999998</v>
      </c>
      <c r="F12" s="195">
        <f t="shared" si="0"/>
        <v>-2.5557147645153488E-2</v>
      </c>
      <c r="G12" s="294">
        <v>10.701713999999999</v>
      </c>
      <c r="H12" s="270">
        <v>11.364926000000001</v>
      </c>
      <c r="I12" s="195">
        <f t="shared" si="1"/>
        <v>6.1972502722461131E-2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3">
        <v>149.43261299999998</v>
      </c>
      <c r="E13" s="247">
        <v>129.33343272500002</v>
      </c>
      <c r="F13" s="195">
        <f t="shared" si="0"/>
        <v>-0.13450330467687099</v>
      </c>
      <c r="G13" s="207">
        <v>1469.2519949999999</v>
      </c>
      <c r="H13" s="247">
        <v>1335.8098853196418</v>
      </c>
      <c r="I13" s="195">
        <f t="shared" si="1"/>
        <v>-9.082316044795169E-2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3">
        <v>196.62501</v>
      </c>
      <c r="E14" s="247">
        <v>288.9250191750001</v>
      </c>
      <c r="F14" s="195">
        <f t="shared" si="0"/>
        <v>0.46942151039178626</v>
      </c>
      <c r="G14" s="207">
        <v>3165.1906389999999</v>
      </c>
      <c r="H14" s="247">
        <v>3527.0264339274995</v>
      </c>
      <c r="I14" s="195">
        <f t="shared" si="1"/>
        <v>0.1143172200969913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3">
        <v>200.35906100000005</v>
      </c>
      <c r="E15" s="247">
        <v>189.31284054</v>
      </c>
      <c r="F15" s="195">
        <f t="shared" si="0"/>
        <v>-5.5132123323337279E-2</v>
      </c>
      <c r="G15" s="207">
        <v>2052.0613050000002</v>
      </c>
      <c r="H15" s="247">
        <v>1975.1952866249928</v>
      </c>
      <c r="I15" s="195">
        <f t="shared" si="1"/>
        <v>-3.7457954198404142E-2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3">
        <v>935.77923400000009</v>
      </c>
      <c r="E16" s="247">
        <v>874.90868640000008</v>
      </c>
      <c r="F16" s="195">
        <f t="shared" si="0"/>
        <v>-6.5047978613297586E-2</v>
      </c>
      <c r="G16" s="207">
        <v>10202.526967999998</v>
      </c>
      <c r="H16" s="247">
        <v>9572.0042516735721</v>
      </c>
      <c r="I16" s="195">
        <f t="shared" si="1"/>
        <v>-6.1800641968803083E-2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3">
        <v>262.48787499999997</v>
      </c>
      <c r="E17" s="247">
        <v>247.93665564749998</v>
      </c>
      <c r="F17" s="195">
        <f t="shared" si="0"/>
        <v>-5.5435777185898538E-2</v>
      </c>
      <c r="G17" s="207">
        <v>2424.0812950000004</v>
      </c>
      <c r="H17" s="247">
        <v>2007.2264209649995</v>
      </c>
      <c r="I17" s="195">
        <f t="shared" si="1"/>
        <v>-0.17196406527075681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3">
        <v>143.94330100000002</v>
      </c>
      <c r="E18" s="247">
        <v>144.78129845500001</v>
      </c>
      <c r="F18" s="195">
        <f t="shared" si="0"/>
        <v>5.8217190322735757E-3</v>
      </c>
      <c r="G18" s="207">
        <v>1698.1200670000001</v>
      </c>
      <c r="H18" s="247">
        <v>1807.0820392475</v>
      </c>
      <c r="I18" s="195">
        <f t="shared" si="1"/>
        <v>6.4166235571315511E-2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3">
        <v>295.22416000000004</v>
      </c>
      <c r="E19" s="247">
        <v>294.00271495499987</v>
      </c>
      <c r="F19" s="195">
        <f t="shared" si="0"/>
        <v>-4.1373478545935205E-3</v>
      </c>
      <c r="G19" s="207">
        <v>3134.1466729999993</v>
      </c>
      <c r="H19" s="247">
        <v>3070.2242270074994</v>
      </c>
      <c r="I19" s="195">
        <f t="shared" si="1"/>
        <v>-2.0395486447133404E-2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3">
        <v>63.717636000000006</v>
      </c>
      <c r="E20" s="247">
        <v>60.698394150000006</v>
      </c>
      <c r="F20" s="195">
        <f t="shared" si="0"/>
        <v>-4.7384712295352571E-2</v>
      </c>
      <c r="G20" s="207">
        <v>710.45667200000003</v>
      </c>
      <c r="H20" s="247">
        <v>699.43626618709914</v>
      </c>
      <c r="I20" s="195">
        <f t="shared" si="1"/>
        <v>-1.5511721188960714E-2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3">
        <v>5.1258070000000009</v>
      </c>
      <c r="E21" s="247">
        <v>8.5864787924999995</v>
      </c>
      <c r="F21" s="195">
        <f t="shared" si="0"/>
        <v>0.67514672177473667</v>
      </c>
      <c r="G21" s="207">
        <v>61.721995000000007</v>
      </c>
      <c r="H21" s="247">
        <v>65.588027270000012</v>
      </c>
      <c r="I21" s="195">
        <f t="shared" si="1"/>
        <v>6.2636216959610636E-2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3">
        <v>1955.4367242193687</v>
      </c>
      <c r="E22" s="247">
        <v>2158.5480386557474</v>
      </c>
      <c r="F22" s="195">
        <f t="shared" si="0"/>
        <v>0.10387005210688316</v>
      </c>
      <c r="G22" s="207">
        <v>23848.561409000005</v>
      </c>
      <c r="H22" s="247">
        <v>26710.032859729683</v>
      </c>
      <c r="I22" s="195">
        <f t="shared" si="1"/>
        <v>0.11998507589853236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3">
        <v>36.686489999999999</v>
      </c>
      <c r="E23" s="247">
        <v>36.650723999999997</v>
      </c>
      <c r="F23" s="195">
        <f t="shared" si="0"/>
        <v>-9.7490929222177058E-4</v>
      </c>
      <c r="G23" s="207">
        <v>412.34330499999999</v>
      </c>
      <c r="H23" s="247">
        <v>420.62527900000003</v>
      </c>
      <c r="I23" s="195">
        <f t="shared" si="1"/>
        <v>2.0085142403367229E-2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5">
        <v>9.1338000000000003E-2</v>
      </c>
      <c r="E24" s="270">
        <v>0.108835</v>
      </c>
      <c r="F24" s="195">
        <f t="shared" si="0"/>
        <v>0.19156320479975464</v>
      </c>
      <c r="G24" s="321">
        <v>1.9796259999999999</v>
      </c>
      <c r="H24" s="322">
        <v>2.0023009775</v>
      </c>
      <c r="I24" s="310">
        <f t="shared" si="1"/>
        <v>1.1454172404282481E-2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3">
        <v>64.624752999999984</v>
      </c>
      <c r="E25" s="247">
        <v>62.865510082499988</v>
      </c>
      <c r="F25" s="195">
        <f t="shared" si="0"/>
        <v>-2.7222431589022822E-2</v>
      </c>
      <c r="G25" s="207">
        <v>753.20876799999996</v>
      </c>
      <c r="H25" s="247">
        <v>1003.9391982150001</v>
      </c>
      <c r="I25" s="195">
        <f t="shared" si="1"/>
        <v>0.33288304765857446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3">
        <v>92.456541999999999</v>
      </c>
      <c r="E26" s="247">
        <v>79.893786065</v>
      </c>
      <c r="F26" s="195">
        <f t="shared" si="0"/>
        <v>-0.13587741508870188</v>
      </c>
      <c r="G26" s="207">
        <v>868.45029499999987</v>
      </c>
      <c r="H26" s="247">
        <v>836.73571436520251</v>
      </c>
      <c r="I26" s="195">
        <f t="shared" si="1"/>
        <v>-3.6518590433315845E-2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3">
        <v>125.79765700000002</v>
      </c>
      <c r="E27" s="247">
        <v>128.94679590500002</v>
      </c>
      <c r="F27" s="195">
        <f t="shared" si="0"/>
        <v>2.5033366917159627E-2</v>
      </c>
      <c r="G27" s="207">
        <v>1477.721855</v>
      </c>
      <c r="H27" s="247">
        <v>1589.0522095150002</v>
      </c>
      <c r="I27" s="195">
        <f t="shared" si="1"/>
        <v>7.5339181144478795E-2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3">
        <v>127.26313800000003</v>
      </c>
      <c r="E28" s="247">
        <v>107.73916593</v>
      </c>
      <c r="F28" s="195">
        <f t="shared" si="0"/>
        <v>-0.15341419657591682</v>
      </c>
      <c r="G28" s="207">
        <v>979.09539300000006</v>
      </c>
      <c r="H28" s="247">
        <v>1057.3633078124999</v>
      </c>
      <c r="I28" s="195">
        <f t="shared" si="1"/>
        <v>7.9939008366368469E-2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3">
        <v>3.2950739999999996</v>
      </c>
      <c r="E29" s="247">
        <v>3.1106579999999995</v>
      </c>
      <c r="F29" s="195">
        <f t="shared" si="0"/>
        <v>-5.5967180099748992E-2</v>
      </c>
      <c r="G29" s="207">
        <v>47.20368400000001</v>
      </c>
      <c r="H29" s="247">
        <v>36.450596000000004</v>
      </c>
      <c r="I29" s="195">
        <f t="shared" si="1"/>
        <v>-0.22780188088709352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3">
        <v>14.448564999999999</v>
      </c>
      <c r="E30" s="247">
        <v>8.8317177825000002</v>
      </c>
      <c r="F30" s="195">
        <f t="shared" si="0"/>
        <v>-0.38874775574598575</v>
      </c>
      <c r="G30" s="207">
        <v>157.78662299999999</v>
      </c>
      <c r="H30" s="247">
        <v>147.11238571999999</v>
      </c>
      <c r="I30" s="195">
        <f t="shared" si="1"/>
        <v>-6.7649824028491956E-2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3">
        <v>1.1005480000000001</v>
      </c>
      <c r="E31" s="247">
        <v>1.1005480000000001</v>
      </c>
      <c r="F31" s="195">
        <f>+E31/D31-1</f>
        <v>0</v>
      </c>
      <c r="G31" s="207">
        <v>13.206575999999998</v>
      </c>
      <c r="H31" s="247">
        <v>13.206575999999998</v>
      </c>
      <c r="I31" s="195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7">
        <v>1.582055</v>
      </c>
      <c r="E32" s="248">
        <v>19.2529011375</v>
      </c>
      <c r="F32" s="196">
        <f t="shared" si="0"/>
        <v>11.169552346473417</v>
      </c>
      <c r="G32" s="208">
        <v>238.79560299999997</v>
      </c>
      <c r="H32" s="248">
        <v>327.99060100749995</v>
      </c>
      <c r="I32" s="196">
        <f t="shared" si="1"/>
        <v>0.37352026958176432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3" t="s">
        <v>108</v>
      </c>
      <c r="D33" s="89">
        <f>SUM(D8:D32)</f>
        <v>5019.1381212193692</v>
      </c>
      <c r="E33" s="249">
        <f>SUM(E8:E32)</f>
        <v>5214.1508432767487</v>
      </c>
      <c r="F33" s="94">
        <f>+E33/D33-1</f>
        <v>3.8853826562956328E-2</v>
      </c>
      <c r="G33" s="209">
        <f>SUM(G8:G32)</f>
        <v>57397.015792000006</v>
      </c>
      <c r="H33" s="249">
        <f>SUM(H8:H32)</f>
        <v>59642.780054673851</v>
      </c>
      <c r="I33" s="210">
        <f>+H33/G33-1</f>
        <v>3.9126847131081277E-2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130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6" t="s">
        <v>45</v>
      </c>
    </row>
    <row r="44" spans="3:19">
      <c r="C44" s="15"/>
      <c r="N44" s="39" t="s">
        <v>30</v>
      </c>
      <c r="O44" s="40">
        <v>2158.5480386557474</v>
      </c>
      <c r="S44" s="36"/>
    </row>
    <row r="45" spans="3:19">
      <c r="C45" s="15"/>
      <c r="N45" s="39" t="s">
        <v>24</v>
      </c>
      <c r="O45" s="40">
        <v>874.90868640000008</v>
      </c>
      <c r="S45" s="36"/>
    </row>
    <row r="46" spans="3:19">
      <c r="C46" s="15"/>
      <c r="N46" s="39" t="s">
        <v>27</v>
      </c>
      <c r="O46" s="40">
        <v>294.00271495499987</v>
      </c>
      <c r="S46" s="36"/>
    </row>
    <row r="47" spans="3:19">
      <c r="N47" s="39" t="s">
        <v>59</v>
      </c>
      <c r="O47" s="40">
        <v>288.9250191750001</v>
      </c>
      <c r="S47" s="36"/>
    </row>
    <row r="48" spans="3:19">
      <c r="N48" s="39" t="s">
        <v>18</v>
      </c>
      <c r="O48" s="40">
        <v>277.82602309250007</v>
      </c>
      <c r="S48" s="36"/>
    </row>
    <row r="49" spans="14:19">
      <c r="N49" s="39" t="s">
        <v>25</v>
      </c>
      <c r="O49" s="40">
        <v>247.93665564749998</v>
      </c>
      <c r="S49" s="36"/>
    </row>
    <row r="50" spans="14:19">
      <c r="N50" s="39" t="s">
        <v>23</v>
      </c>
      <c r="O50" s="40">
        <v>189.31284054</v>
      </c>
      <c r="S50" s="36"/>
    </row>
    <row r="51" spans="14:19">
      <c r="N51" s="39" t="s">
        <v>26</v>
      </c>
      <c r="O51" s="40">
        <v>144.78129845500001</v>
      </c>
      <c r="S51" s="36"/>
    </row>
    <row r="52" spans="14:19">
      <c r="N52" s="39" t="s">
        <v>22</v>
      </c>
      <c r="O52" s="40">
        <v>129.33343272500002</v>
      </c>
      <c r="S52" s="36"/>
    </row>
    <row r="53" spans="14:19">
      <c r="N53" s="39" t="s">
        <v>35</v>
      </c>
      <c r="O53" s="40">
        <v>128.94679590500002</v>
      </c>
      <c r="S53" s="36"/>
    </row>
    <row r="54" spans="14:19">
      <c r="N54" s="39" t="s">
        <v>36</v>
      </c>
      <c r="O54" s="40">
        <v>107.73916593</v>
      </c>
      <c r="S54" s="99"/>
    </row>
    <row r="55" spans="14:19">
      <c r="N55" s="39" t="s">
        <v>20</v>
      </c>
      <c r="O55" s="40">
        <v>82.564253785999995</v>
      </c>
      <c r="S55" s="36"/>
    </row>
    <row r="56" spans="14:19">
      <c r="N56" s="39" t="s">
        <v>34</v>
      </c>
      <c r="O56" s="40">
        <v>79.893786065</v>
      </c>
      <c r="S56" s="36"/>
    </row>
    <row r="57" spans="14:19">
      <c r="N57" s="39" t="s">
        <v>33</v>
      </c>
      <c r="O57" s="40">
        <v>62.865510082499988</v>
      </c>
      <c r="S57" s="36"/>
    </row>
    <row r="58" spans="14:19">
      <c r="N58" s="39" t="s">
        <v>28</v>
      </c>
      <c r="O58" s="40">
        <v>60.698394150000006</v>
      </c>
      <c r="S58" s="36"/>
    </row>
    <row r="59" spans="14:19">
      <c r="N59" s="39" t="s">
        <v>31</v>
      </c>
      <c r="O59" s="40">
        <v>36.650723999999997</v>
      </c>
      <c r="S59" s="36"/>
    </row>
    <row r="60" spans="14:19">
      <c r="N60" s="39" t="s">
        <v>40</v>
      </c>
      <c r="O60" s="40">
        <v>19.2529011375</v>
      </c>
      <c r="S60" s="36"/>
    </row>
    <row r="61" spans="14:19">
      <c r="N61" s="39" t="s">
        <v>38</v>
      </c>
      <c r="O61" s="40">
        <v>8.8317177825000002</v>
      </c>
      <c r="S61" s="36"/>
    </row>
    <row r="62" spans="14:19">
      <c r="N62" s="39" t="s">
        <v>29</v>
      </c>
      <c r="O62" s="40">
        <v>8.5864787924999995</v>
      </c>
      <c r="S62" s="36"/>
    </row>
    <row r="63" spans="14:19">
      <c r="N63" s="39" t="s">
        <v>19</v>
      </c>
      <c r="O63" s="40">
        <v>4.1717159999999991</v>
      </c>
      <c r="S63" s="36"/>
    </row>
    <row r="64" spans="14:19">
      <c r="N64" s="39" t="s">
        <v>37</v>
      </c>
      <c r="O64" s="40">
        <v>3.1106579999999995</v>
      </c>
      <c r="S64" s="36"/>
    </row>
    <row r="65" spans="6:19">
      <c r="N65" s="39" t="s">
        <v>17</v>
      </c>
      <c r="O65" s="40">
        <v>2.9876369999999999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1.0670119999999998</v>
      </c>
      <c r="S67" s="36"/>
    </row>
    <row r="68" spans="6:19">
      <c r="N68" t="s">
        <v>32</v>
      </c>
      <c r="O68" s="40">
        <v>0.108835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R44:S68">
    <sortCondition descending="1" ref="S44:S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2023-03-10T16:22:23Z</dcterms:modified>
</cp:coreProperties>
</file>